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Mi técnica" sheetId="3" state="visible" r:id="rId3"/>
    <sheet xmlns:r="http://schemas.openxmlformats.org/officeDocument/2006/relationships" name="Esquemas" sheetId="4" state="visible" r:id="rId4"/>
    <sheet xmlns:r="http://schemas.openxmlformats.org/officeDocument/2006/relationships" name="Volumen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;-$#,##0.00"/>
    <numFmt numFmtId="165" formatCode="0.0"/>
    <numFmt numFmtId="166" formatCode="0.00000%"/>
    <numFmt numFmtId="167" formatCode="0.000%"/>
  </numFmts>
  <fonts count="17">
    <font>
      <name val="Calibri"/>
      <family val="2"/>
      <color theme="1"/>
      <sz val="11"/>
      <scheme val="minor"/>
    </font>
    <font>
      <name val="Montserrat"/>
      <b val="1"/>
      <sz val="14"/>
    </font>
    <font>
      <name val="Montserrat"/>
      <i val="1"/>
      <color rgb="005A554D"/>
      <sz val="9"/>
    </font>
    <font>
      <name val="Montserrat"/>
      <b val="1"/>
      <color rgb="00EFE7DA"/>
      <sz val="10"/>
    </font>
    <font>
      <name val="Montserrat"/>
      <b val="1"/>
      <color rgb="00B99C4E"/>
      <sz val="11"/>
    </font>
    <font>
      <name val="Montserrat"/>
      <sz val="10"/>
    </font>
    <font>
      <name val="Montserrat"/>
      <color rgb="000000FF"/>
    </font>
    <font>
      <name val="Montserrat"/>
      <b val="1"/>
    </font>
    <font>
      <name val="Montserrat"/>
    </font>
    <font>
      <name val="Montserrat"/>
      <b val="1"/>
      <color rgb="00C00000"/>
      <sz val="10"/>
    </font>
    <font>
      <name val="Montserrat"/>
      <b val="1"/>
      <sz val="10"/>
    </font>
    <font>
      <name val="Montserrat"/>
      <b val="1"/>
      <color rgb="00B99C4E"/>
    </font>
    <font>
      <name val="Montserrat"/>
      <sz val="9"/>
    </font>
    <font>
      <name val="Montserrat"/>
      <b val="1"/>
      <color rgb="00000000"/>
      <sz val="14"/>
    </font>
    <font>
      <name val="Montserrat"/>
      <color rgb="00000000"/>
      <sz val="9"/>
    </font>
    <font>
      <name val="Montserrat"/>
      <color rgb="00000000"/>
      <sz val="10"/>
    </font>
    <font>
      <name val="Montserrat"/>
      <b val="1"/>
      <color rgb="00B99C4E"/>
      <sz val="12"/>
    </font>
  </fonts>
  <fills count="6">
    <fill>
      <patternFill/>
    </fill>
    <fill>
      <patternFill patternType="gray125"/>
    </fill>
    <fill>
      <patternFill patternType="solid">
        <fgColor rgb="002D2E30"/>
      </patternFill>
    </fill>
    <fill>
      <patternFill patternType="solid">
        <fgColor rgb="00F8F4EE"/>
      </patternFill>
    </fill>
    <fill>
      <patternFill patternType="solid">
        <fgColor rgb="00FFF2CC"/>
      </patternFill>
    </fill>
    <fill>
      <patternFill patternType="solid">
        <fgColor rgb="00EFE7DA"/>
      </patternFill>
    </fill>
  </fills>
  <borders count="2">
    <border>
      <left/>
      <right/>
      <top/>
      <bottom/>
      <diagonal/>
    </border>
    <border>
      <bottom style="thin">
        <color rgb="00C4BCAF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6" fillId="3" borderId="0" pivotButton="0" quotePrefix="0" xfId="0"/>
    <xf numFmtId="0" fontId="2" fillId="0" borderId="0" applyAlignment="1" pivotButton="0" quotePrefix="0" xfId="0">
      <alignment wrapText="1"/>
    </xf>
    <xf numFmtId="164" fontId="6" fillId="4" borderId="0" pivotButton="0" quotePrefix="0" xfId="0"/>
    <xf numFmtId="0" fontId="6" fillId="4" borderId="0" pivotButton="0" quotePrefix="0" xfId="0"/>
    <xf numFmtId="164" fontId="7" fillId="0" borderId="0" pivotButton="0" quotePrefix="0" xfId="0"/>
    <xf numFmtId="165" fontId="6" fillId="4" borderId="0" pivotButton="0" quotePrefix="0" xfId="0"/>
    <xf numFmtId="1" fontId="6" fillId="3" borderId="0" pivotButton="0" quotePrefix="0" xfId="0"/>
    <xf numFmtId="10" fontId="6" fillId="3" borderId="0" pivotButton="0" quotePrefix="0" xfId="0"/>
    <xf numFmtId="166" fontId="6" fillId="4" borderId="0" pivotButton="0" quotePrefix="0" xfId="0"/>
    <xf numFmtId="10" fontId="6" fillId="4" borderId="0" pivotButton="0" quotePrefix="0" xfId="0"/>
    <xf numFmtId="167" fontId="6" fillId="3" borderId="0" pivotButton="0" quotePrefix="0" xfId="0"/>
    <xf numFmtId="2" fontId="6" fillId="3" borderId="0" pivotButton="0" quotePrefix="0" xfId="0"/>
    <xf numFmtId="0" fontId="6" fillId="3" borderId="1" pivotButton="0" quotePrefix="0" xfId="0"/>
    <xf numFmtId="164" fontId="6" fillId="3" borderId="1" pivotButton="0" quotePrefix="0" xfId="0"/>
    <xf numFmtId="1" fontId="6" fillId="3" borderId="1" pivotButton="0" quotePrefix="0" xfId="0"/>
    <xf numFmtId="164" fontId="8" fillId="0" borderId="1" pivotButton="0" quotePrefix="0" xfId="0"/>
    <xf numFmtId="0" fontId="7" fillId="0" borderId="0" pivotButton="0" quotePrefix="0" xfId="0"/>
    <xf numFmtId="0" fontId="6" fillId="3" borderId="0" pivotButton="0" quotePrefix="0" xfId="0"/>
    <xf numFmtId="165" fontId="6" fillId="3" borderId="0" pivotButton="0" quotePrefix="0" xfId="0"/>
    <xf numFmtId="1" fontId="7" fillId="0" borderId="0" pivotButton="0" quotePrefix="0" xfId="0"/>
    <xf numFmtId="0" fontId="9" fillId="0" borderId="0" pivotButton="0" quotePrefix="0" xfId="0"/>
    <xf numFmtId="9" fontId="8" fillId="0" borderId="0" pivotButton="0" quotePrefix="0" xfId="0"/>
    <xf numFmtId="0" fontId="10" fillId="5" borderId="0" pivotButton="0" quotePrefix="0" xfId="0"/>
    <xf numFmtId="164" fontId="7" fillId="5" borderId="1" pivotButton="0" quotePrefix="0" xfId="0"/>
    <xf numFmtId="167" fontId="8" fillId="0" borderId="1" pivotButton="0" quotePrefix="0" xfId="0"/>
    <xf numFmtId="0" fontId="8" fillId="0" borderId="1" pivotButton="0" quotePrefix="0" xfId="0"/>
    <xf numFmtId="0" fontId="10" fillId="0" borderId="0" pivotButton="0" quotePrefix="0" xfId="0"/>
    <xf numFmtId="164" fontId="7" fillId="0" borderId="1" pivotButton="0" quotePrefix="0" xfId="0"/>
    <xf numFmtId="0" fontId="5" fillId="5" borderId="0" pivotButton="0" quotePrefix="0" xfId="0"/>
    <xf numFmtId="164" fontId="8" fillId="5" borderId="1" pivotButton="0" quotePrefix="0" xfId="0"/>
    <xf numFmtId="10" fontId="8" fillId="0" borderId="1" pivotButton="0" quotePrefix="0" xfId="0"/>
    <xf numFmtId="9" fontId="6" fillId="3" borderId="0" pivotButton="0" quotePrefix="0" xfId="0"/>
    <xf numFmtId="164" fontId="8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name val="Montserrat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Comparador de esquemas de pago para manicuristas</t>
        </is>
      </c>
    </row>
    <row r="2">
      <c r="A2" s="2" t="inlineStr">
        <is>
          <t>Brand Lab Beauty · brandlabbeauty.org</t>
        </is>
      </c>
    </row>
    <row r="3">
      <c r="A3" s="3" t="inlineStr"/>
    </row>
    <row r="4">
      <c r="A4" s="3" t="inlineStr">
        <is>
          <t>Para qué sirve: comparar, para una misma técnica, cuánto cuesta y cuánto recibe con sueldo fijo, con sueldo fijo más comisión y con solo comisión, respetando el salario mínimo.</t>
        </is>
      </c>
    </row>
    <row r="5">
      <c r="A5" s="3" t="inlineStr"/>
    </row>
    <row r="6">
      <c r="A6" s="4" t="inlineStr">
        <is>
          <t>Cómo usarlo</t>
        </is>
      </c>
    </row>
    <row r="7">
      <c r="A7" s="3" t="inlineStr">
        <is>
          <t>1. En «Mi técnica» escribe sus servicios de un mes normal (precio sin IVA, material y cantidad), cómo te pagan con tarjeta, su horario y si trabaja domingos.</t>
        </is>
      </c>
    </row>
    <row r="8">
      <c r="A8" s="3" t="inlineStr">
        <is>
          <t>2. En «Esquemas» escribe el sueldo fijo de A, el sueldo y el porcentaje de B y el porcentaje de C.</t>
        </is>
      </c>
    </row>
    <row r="9">
      <c r="A9" s="3" t="inlineStr">
        <is>
          <t>3. Lee las filas en mayúsculas: SALARIO BRUTO, COSTO PATRONAL, COSTO LABORAL TOTAL, SALARIO NETO y CONTRIBUCIÓN DE LA TÉCNICA.</t>
        </is>
      </c>
    </row>
    <row r="10">
      <c r="A10" s="3" t="inlineStr">
        <is>
          <t>4. En «Volumen» mira qué pasa con un mes flojo (60 %) o lleno (120 %).</t>
        </is>
      </c>
    </row>
    <row r="11">
      <c r="A11" s="3" t="inlineStr"/>
    </row>
    <row r="12">
      <c r="A12" s="4" t="inlineStr">
        <is>
          <t>Qué significa cada resultado</t>
        </is>
      </c>
    </row>
    <row r="13">
      <c r="A13" s="3" t="inlineStr">
        <is>
          <t>Salario bruto: lo que dice el recibo, antes de retenciones. Incluye el complemento si la comisión no alcanza el mínimo.</t>
        </is>
      </c>
    </row>
    <row r="14">
      <c r="A14" s="3" t="inlineStr">
        <is>
          <t>Salario neto: lo que recibe la trabajadora después de cuotas obreras del IMSS e ISR estimado.</t>
        </is>
      </c>
    </row>
    <row r="15">
      <c r="A15" s="3" t="inlineStr">
        <is>
          <t>Costo patronal: IMSS, Infonavit e impuesto sobre nómina que paga el salón además del bruto.</t>
        </is>
      </c>
    </row>
    <row r="16">
      <c r="A16" s="3" t="inlineStr">
        <is>
          <t>Costo laboral total: bruto + aguinaldo, vacaciones y primas prorrateadas + costo patronal.</t>
        </is>
      </c>
    </row>
    <row r="17">
      <c r="A17" s="3" t="inlineStr">
        <is>
          <t>Contribución de la técnica: lo cobrado menos material, terminal y costo laboral. No es utilidad: de ahí salen los costos fijos.</t>
        </is>
      </c>
    </row>
    <row r="18">
      <c r="A18" s="3" t="inlineStr"/>
    </row>
    <row r="19">
      <c r="A19" s="4" t="inlineStr">
        <is>
          <t>Importante</t>
        </is>
      </c>
    </row>
    <row r="20">
      <c r="A20" s="3" t="inlineStr">
        <is>
          <t>Las cifras que trae son un EJEMPLO ilustrativo, no datos de ningún salón real. El archivo no guarda ni envía tus datos.</t>
        </is>
      </c>
    </row>
    <row r="21">
      <c r="A21" s="3" t="inlineStr">
        <is>
          <t>Parámetros vigentes al 23 de octubre de 2026 (hoja «Parámetros»); actualízalos cada enero. Las celdas amarillas son supuestos por validar con tu asesor.</t>
        </is>
      </c>
    </row>
    <row r="22">
      <c r="A22" s="3" t="inlineStr">
        <is>
          <t>Herramienta de apoyo: no sustituye la nómina ni la asesoría laboral, contable o fiscal.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70" customWidth="1" min="3" max="3"/>
  </cols>
  <sheetData>
    <row r="1">
      <c r="A1" s="5" t="inlineStr">
        <is>
          <t>Parámetros 2026</t>
        </is>
      </c>
    </row>
    <row r="2">
      <c r="A2" s="6" t="inlineStr">
        <is>
          <t>Valores vigentes al 23 de octubre de 2026. Celdas azules: puedes actualizarlas cada enero. Celdas amarillas: supuestos por validar con tu asesor.</t>
        </is>
      </c>
    </row>
    <row r="3">
      <c r="A3" s="7" t="inlineStr">
        <is>
          <t>Concepto</t>
        </is>
      </c>
      <c r="B3" s="7" t="inlineStr">
        <is>
          <t>Valor</t>
        </is>
      </c>
      <c r="C3" s="7" t="inlineStr">
        <is>
          <t>Fundamento y fuente</t>
        </is>
      </c>
    </row>
    <row r="4">
      <c r="A4" s="8" t="inlineStr">
        <is>
          <t>Salario mínimo y UMA</t>
        </is>
      </c>
    </row>
    <row r="5">
      <c r="A5" s="9" t="inlineStr">
        <is>
          <t>Salario mínimo general diario (fuera de la frontera norte)</t>
        </is>
      </c>
      <c r="B5" s="10" t="n">
        <v>315.04</v>
      </c>
      <c r="C5" s="11" t="inlineStr">
        <is>
          <t>CONASAMI, DOF 9-dic-2025, vigente desde 1-ene-2026</t>
        </is>
      </c>
    </row>
    <row r="6">
      <c r="A6" s="9" t="inlineStr">
        <is>
          <t>Salario mínimo profesional diario: Peluquero(a) y cultor(a) de belleza</t>
        </is>
      </c>
      <c r="B6" s="12" t="n">
        <v>341.42</v>
      </c>
      <c r="C6" s="11" t="inlineStr">
        <is>
          <t>CONASAMI, DOF 9-dic-2025, profesión 38. Encuadre de la manicurista: por validar</t>
        </is>
      </c>
    </row>
    <row r="7">
      <c r="A7" s="9" t="inlineStr">
        <is>
          <t>Piso que usa el comparador (Profesional o General)</t>
        </is>
      </c>
      <c r="B7" s="13" t="inlineStr">
        <is>
          <t>Profesional</t>
        </is>
      </c>
      <c r="C7" s="11" t="inlineStr">
        <is>
          <t>Decisión del 23-oct-2026: profesional por prudencia</t>
        </is>
      </c>
    </row>
    <row r="8">
      <c r="A8" s="9" t="inlineStr">
        <is>
          <t>Piso diario aplicable</t>
        </is>
      </c>
      <c r="B8" s="14">
        <f>IF(B7="General",B5,B6)</f>
        <v/>
      </c>
      <c r="C8" s="11" t="inlineStr">
        <is>
          <t>LFT arts. 85 y 90</t>
        </is>
      </c>
    </row>
    <row r="9">
      <c r="A9" s="9" t="inlineStr">
        <is>
          <t>UMA diaria</t>
        </is>
      </c>
      <c r="B9" s="10" t="n">
        <v>117.31</v>
      </c>
      <c r="C9" s="11" t="inlineStr">
        <is>
          <t>INEGI, comunicado 1/26 (8-ene-2026), vigente desde 1-feb-2026</t>
        </is>
      </c>
    </row>
    <row r="10">
      <c r="A10" s="9" t="inlineStr">
        <is>
          <t>Días por mes</t>
        </is>
      </c>
      <c r="B10" s="15" t="n">
        <v>30.4</v>
      </c>
      <c r="C10" s="11" t="inlineStr">
        <is>
          <t>Convención administrativa para convertir a mes</t>
        </is>
      </c>
    </row>
    <row r="11">
      <c r="A11" s="8" t="inlineStr">
        <is>
          <t>Prestaciones</t>
        </is>
      </c>
    </row>
    <row r="12">
      <c r="A12" s="9" t="inlineStr">
        <is>
          <t>Días de aguinaldo</t>
        </is>
      </c>
      <c r="B12" s="16" t="n">
        <v>15</v>
      </c>
      <c r="C12" s="11" t="inlineStr">
        <is>
          <t>LFT art. 87</t>
        </is>
      </c>
    </row>
    <row r="13">
      <c r="A13" s="9" t="inlineStr">
        <is>
          <t>Días de vacaciones (primer año)</t>
        </is>
      </c>
      <c r="B13" s="16" t="n">
        <v>12</v>
      </c>
      <c r="C13" s="11" t="inlineStr">
        <is>
          <t>LFT art. 76</t>
        </is>
      </c>
    </row>
    <row r="14">
      <c r="A14" s="9" t="inlineStr">
        <is>
          <t>Prima vacacional</t>
        </is>
      </c>
      <c r="B14" s="17" t="n">
        <v>0.25</v>
      </c>
      <c r="C14" s="11" t="inlineStr">
        <is>
          <t>LFT art. 80</t>
        </is>
      </c>
    </row>
    <row r="15">
      <c r="A15" s="9" t="inlineStr">
        <is>
          <t>Prima dominical</t>
        </is>
      </c>
      <c r="B15" s="17" t="n">
        <v>0.25</v>
      </c>
      <c r="C15" s="11" t="inlineStr">
        <is>
          <t>LFT art. 71</t>
        </is>
      </c>
    </row>
    <row r="16">
      <c r="A16" s="8" t="inlineStr">
        <is>
          <t>Cuotas patronales IMSS, Infonavit e ISN</t>
        </is>
      </c>
    </row>
    <row r="17">
      <c r="A17" s="9" t="inlineStr">
        <is>
          <t>Enfermedades y maternidad: cuota fija (sobre la UMA)</t>
        </is>
      </c>
      <c r="B17" s="17" t="n">
        <v>0.204</v>
      </c>
      <c r="C17" s="11" t="inlineStr">
        <is>
          <t>LSS art. 106 fr. I y transitorio Décimo Noveno (1995)</t>
        </is>
      </c>
    </row>
    <row r="18">
      <c r="A18" s="9" t="inlineStr">
        <is>
          <t>Excedente de 3 UMA (patrón)</t>
        </is>
      </c>
      <c r="B18" s="17" t="n">
        <v>0.011</v>
      </c>
      <c r="C18" s="11" t="inlineStr">
        <is>
          <t>LSS art. 106 fr. II y transitorio Décimo Noveno</t>
        </is>
      </c>
    </row>
    <row r="19">
      <c r="A19" s="9" t="inlineStr">
        <is>
          <t>Prestaciones en dinero (patrón)</t>
        </is>
      </c>
      <c r="B19" s="17" t="n">
        <v>0.007</v>
      </c>
      <c r="C19" s="11" t="inlineStr">
        <is>
          <t>LSS art. 107</t>
        </is>
      </c>
    </row>
    <row r="20">
      <c r="A20" s="9" t="inlineStr">
        <is>
          <t>Gastos médicos de pensionados (patrón)</t>
        </is>
      </c>
      <c r="B20" s="17" t="n">
        <v>0.0105</v>
      </c>
      <c r="C20" s="11" t="inlineStr">
        <is>
          <t>LSS art. 25</t>
        </is>
      </c>
    </row>
    <row r="21">
      <c r="A21" s="9" t="inlineStr">
        <is>
          <t>Invalidez y vida (patrón)</t>
        </is>
      </c>
      <c r="B21" s="17" t="n">
        <v>0.0175</v>
      </c>
      <c r="C21" s="11" t="inlineStr">
        <is>
          <t>LSS art. 147</t>
        </is>
      </c>
    </row>
    <row r="22">
      <c r="A22" s="9" t="inlineStr">
        <is>
          <t>Guarderías y prestaciones sociales</t>
        </is>
      </c>
      <c r="B22" s="17" t="n">
        <v>0.01</v>
      </c>
      <c r="C22" s="11" t="inlineStr">
        <is>
          <t>LSS art. 211</t>
        </is>
      </c>
    </row>
    <row r="23">
      <c r="A23" s="9" t="inlineStr">
        <is>
          <t>Retiro</t>
        </is>
      </c>
      <c r="B23" s="17" t="n">
        <v>0.02</v>
      </c>
      <c r="C23" s="11" t="inlineStr">
        <is>
          <t>LSS art. 168 fr. I</t>
        </is>
      </c>
    </row>
    <row r="24">
      <c r="A24" s="9" t="inlineStr">
        <is>
          <t>Prima de riesgo de trabajo</t>
        </is>
      </c>
      <c r="B24" s="18" t="n">
        <v>0.0054355</v>
      </c>
      <c r="C24" s="11" t="inlineStr">
        <is>
          <t>LSS art. 73: prima media clase I. La clase de un salón está por validar; usa la tuya si ya la tienes</t>
        </is>
      </c>
    </row>
    <row r="25">
      <c r="A25" s="9" t="inlineStr">
        <is>
          <t>Infonavit</t>
        </is>
      </c>
      <c r="B25" s="17" t="n">
        <v>0.05</v>
      </c>
      <c r="C25" s="11" t="inlineStr">
        <is>
          <t>Ley del Infonavit art. 29 fr. II</t>
        </is>
      </c>
    </row>
    <row r="26">
      <c r="A26" s="9" t="inlineStr">
        <is>
          <t>Impuesto sobre nóminas CDMX</t>
        </is>
      </c>
      <c r="B26" s="19" t="n">
        <v>0.04</v>
      </c>
      <c r="C26" s="11" t="inlineStr">
        <is>
          <t>Código Fiscal CDMX art. 158: tasa de 4 %. Para 2026, el transitorio Trigésimo Séptimo reduce 1 punto a microempresas (servicios: 0 a 10 trabajadores) y 0.5 a pequeñas (11 a 50), conforme a las reglas de la Secretaría de Administración y Finanzas de la CDMX. Si tu salón cumple esas reglas, escribe la tasa que te corresponda; 4 % es el escenario prudente</t>
        </is>
      </c>
    </row>
    <row r="27">
      <c r="A27" s="8" t="inlineStr">
        <is>
          <t>Cuotas obreras IMSS (se retienen a la trabajadora)</t>
        </is>
      </c>
    </row>
    <row r="28">
      <c r="A28" s="9" t="inlineStr">
        <is>
          <t>Excedente de 3 UMA (trabajadora)</t>
        </is>
      </c>
      <c r="B28" s="17" t="n">
        <v>0.004</v>
      </c>
      <c r="C28" s="11" t="inlineStr">
        <is>
          <t>LSS art. 106 fr. II y transitorio</t>
        </is>
      </c>
    </row>
    <row r="29">
      <c r="A29" s="9" t="inlineStr">
        <is>
          <t>Prestaciones en dinero (trabajadora)</t>
        </is>
      </c>
      <c r="B29" s="17" t="n">
        <v>0.0025</v>
      </c>
      <c r="C29" s="11" t="inlineStr">
        <is>
          <t>LSS art. 107</t>
        </is>
      </c>
    </row>
    <row r="30">
      <c r="A30" s="9" t="inlineStr">
        <is>
          <t>Gastos médicos de pensionados (trabajadora)</t>
        </is>
      </c>
      <c r="B30" s="20" t="n">
        <v>0.00375</v>
      </c>
      <c r="C30" s="11" t="inlineStr">
        <is>
          <t>LSS art. 25</t>
        </is>
      </c>
    </row>
    <row r="31">
      <c r="A31" s="9" t="inlineStr">
        <is>
          <t>Invalidez y vida (trabajadora)</t>
        </is>
      </c>
      <c r="B31" s="20" t="n">
        <v>0.00625</v>
      </c>
      <c r="C31" s="11" t="inlineStr">
        <is>
          <t>LSS art. 147</t>
        </is>
      </c>
    </row>
    <row r="32">
      <c r="A32" s="9" t="inlineStr">
        <is>
          <t>Cesantía y vejez (trabajadora)</t>
        </is>
      </c>
      <c r="B32" s="20" t="n">
        <v>0.01125</v>
      </c>
      <c r="C32" s="11" t="inlineStr">
        <is>
          <t>LSS art. 168 fr. II b)</t>
        </is>
      </c>
    </row>
    <row r="33">
      <c r="A33" s="8" t="inlineStr">
        <is>
          <t>Cesantía y vejez, cuota patronal 2026 (LSS art. 168 y transitorio segundo, DOF 16-dic-2020)</t>
        </is>
      </c>
    </row>
    <row r="34">
      <c r="A34" s="7" t="inlineStr">
        <is>
          <t>Salario base de cotización</t>
        </is>
      </c>
      <c r="B34" s="7" t="inlineStr">
        <is>
          <t>Cuota patronal</t>
        </is>
      </c>
      <c r="C34" s="7" t="inlineStr">
        <is>
          <t>Límite superior en UMA (para el cálculo)</t>
        </is>
      </c>
    </row>
    <row r="35">
      <c r="A35" s="9" t="inlineStr">
        <is>
          <t>Hasta 1 salario mínimo general</t>
        </is>
      </c>
      <c r="B35" s="20" t="n">
        <v>0.0315</v>
      </c>
    </row>
    <row r="36">
      <c r="A36" s="9" t="inlineStr">
        <is>
          <t>Más de 1 SM y hasta 1.50 UMA</t>
        </is>
      </c>
      <c r="B36" s="20" t="n">
        <v>0.03676</v>
      </c>
      <c r="C36" s="21" t="n">
        <v>1.5</v>
      </c>
    </row>
    <row r="37">
      <c r="A37" s="9" t="inlineStr">
        <is>
          <t>1.51 a 2.00 UMA</t>
        </is>
      </c>
      <c r="B37" s="20" t="n">
        <v>0.04851</v>
      </c>
      <c r="C37" s="21" t="n">
        <v>2</v>
      </c>
    </row>
    <row r="38">
      <c r="A38" s="9" t="inlineStr">
        <is>
          <t>2.01 a 2.50 UMA</t>
        </is>
      </c>
      <c r="B38" s="20" t="n">
        <v>0.05556</v>
      </c>
      <c r="C38" s="21" t="n">
        <v>2.5</v>
      </c>
    </row>
    <row r="39">
      <c r="A39" s="9" t="inlineStr">
        <is>
          <t>2.51 a 3.00 UMA</t>
        </is>
      </c>
      <c r="B39" s="20" t="n">
        <v>0.06026</v>
      </c>
      <c r="C39" s="21" t="n">
        <v>3</v>
      </c>
    </row>
    <row r="40">
      <c r="A40" s="9" t="inlineStr">
        <is>
          <t>3.01 a 3.50 UMA</t>
        </is>
      </c>
      <c r="B40" s="20" t="n">
        <v>0.06361</v>
      </c>
      <c r="C40" s="21" t="n">
        <v>3.5</v>
      </c>
    </row>
    <row r="41">
      <c r="A41" s="9" t="inlineStr">
        <is>
          <t>3.51 a 4.00 UMA</t>
        </is>
      </c>
      <c r="B41" s="20" t="n">
        <v>0.06612999999999999</v>
      </c>
      <c r="C41" s="21" t="n">
        <v>4</v>
      </c>
    </row>
    <row r="42">
      <c r="A42" s="9" t="inlineStr">
        <is>
          <t>4.01 UMA en adelante</t>
        </is>
      </c>
      <c r="B42" s="20" t="n">
        <v>0.07513</v>
      </c>
    </row>
    <row r="44">
      <c r="A44" s="8" t="inlineStr">
        <is>
          <t>ISR: tarifa mensual 2026 (LISR art. 96; Anexo 8 RMF 2026, DOF 28-dic-2025)</t>
        </is>
      </c>
    </row>
    <row r="45">
      <c r="A45" s="7" t="inlineStr">
        <is>
          <t>Límite inferior</t>
        </is>
      </c>
      <c r="B45" s="7" t="inlineStr">
        <is>
          <t>Cuota fija</t>
        </is>
      </c>
      <c r="C45" s="7" t="inlineStr">
        <is>
          <t>% sobre el excedente del límite inferior</t>
        </is>
      </c>
    </row>
    <row r="46">
      <c r="A46" s="10" t="n">
        <v>0.01</v>
      </c>
      <c r="B46" s="10" t="n">
        <v>0</v>
      </c>
      <c r="C46" s="17" t="n">
        <v>0.0192</v>
      </c>
    </row>
    <row r="47">
      <c r="A47" s="10" t="n">
        <v>844.6</v>
      </c>
      <c r="B47" s="10" t="n">
        <v>16.22</v>
      </c>
      <c r="C47" s="17" t="n">
        <v>0.064</v>
      </c>
    </row>
    <row r="48">
      <c r="A48" s="10" t="n">
        <v>7168.52</v>
      </c>
      <c r="B48" s="10" t="n">
        <v>420.95</v>
      </c>
      <c r="C48" s="17" t="n">
        <v>0.1088</v>
      </c>
    </row>
    <row r="49">
      <c r="A49" s="10" t="n">
        <v>12598.03</v>
      </c>
      <c r="B49" s="10" t="n">
        <v>1011.68</v>
      </c>
      <c r="C49" s="17" t="n">
        <v>0.16</v>
      </c>
    </row>
    <row r="50">
      <c r="A50" s="10" t="n">
        <v>14644.65</v>
      </c>
      <c r="B50" s="10" t="n">
        <v>1339.14</v>
      </c>
      <c r="C50" s="17" t="n">
        <v>0.1792</v>
      </c>
    </row>
    <row r="51">
      <c r="A51" s="10" t="n">
        <v>17533.65</v>
      </c>
      <c r="B51" s="10" t="n">
        <v>1856.84</v>
      </c>
      <c r="C51" s="17" t="n">
        <v>0.2136</v>
      </c>
    </row>
    <row r="52">
      <c r="A52" s="10" t="n">
        <v>35362.84</v>
      </c>
      <c r="B52" s="10" t="n">
        <v>5665.16</v>
      </c>
      <c r="C52" s="17" t="n">
        <v>0.2352</v>
      </c>
    </row>
    <row r="53">
      <c r="A53" s="10" t="n">
        <v>55736.69</v>
      </c>
      <c r="B53" s="10" t="n">
        <v>10457.09</v>
      </c>
      <c r="C53" s="17" t="n">
        <v>0.3</v>
      </c>
    </row>
    <row r="54">
      <c r="A54" s="10" t="n">
        <v>106410.51</v>
      </c>
      <c r="B54" s="10" t="n">
        <v>25659.23</v>
      </c>
      <c r="C54" s="17" t="n">
        <v>0.32</v>
      </c>
    </row>
    <row r="55">
      <c r="A55" s="10" t="n">
        <v>141880.67</v>
      </c>
      <c r="B55" s="10" t="n">
        <v>37009.69</v>
      </c>
      <c r="C55" s="17" t="n">
        <v>0.34</v>
      </c>
    </row>
    <row r="56">
      <c r="A56" s="10" t="n">
        <v>425642</v>
      </c>
      <c r="B56" s="10" t="n">
        <v>133488.54</v>
      </c>
      <c r="C56" s="17" t="n">
        <v>0.35</v>
      </c>
    </row>
    <row r="58">
      <c r="A58" s="9" t="inlineStr">
        <is>
          <t>Subsidio para el empleo: % de la UMA mensual (febrero a diciembre)</t>
        </is>
      </c>
      <c r="B58" s="19" t="n">
        <v>0.1502</v>
      </c>
      <c r="C58" s="11" t="inlineStr">
        <is>
          <t>Decreto DOF 31-dic-2025, Artículo Segundo y Transitorio Segundo (en enero se aplicó 15.59 %)</t>
        </is>
      </c>
    </row>
    <row r="59">
      <c r="A59" s="9" t="inlineStr">
        <is>
          <t>Subsidio: ingreso mensual máximo</t>
        </is>
      </c>
      <c r="B59" s="10" t="n">
        <v>11492.66</v>
      </c>
      <c r="C59" s="11" t="inlineStr">
        <is>
          <t>Mismo decreto</t>
        </is>
      </c>
    </row>
    <row r="60">
      <c r="A60" s="8" t="inlineStr">
        <is>
          <t>Jornada máxima por año (Decreto DOF 1-may-2026, transitorios segundo y cuarto)</t>
        </is>
      </c>
    </row>
    <row r="61">
      <c r="A61" s="7" t="inlineStr">
        <is>
          <t>Año</t>
        </is>
      </c>
      <c r="B61" s="7" t="inlineStr">
        <is>
          <t>Jornada ordinaria máxima por semana (h)</t>
        </is>
      </c>
      <c r="C61" s="7" t="inlineStr">
        <is>
          <t>Horas extra máximas por semana</t>
        </is>
      </c>
    </row>
    <row r="62">
      <c r="A62" s="16" t="n">
        <v>2026</v>
      </c>
      <c r="B62" s="16" t="n">
        <v>48</v>
      </c>
      <c r="C62" s="16" t="n">
        <v>9</v>
      </c>
    </row>
    <row r="63">
      <c r="A63" s="16" t="n">
        <v>2027</v>
      </c>
      <c r="B63" s="16" t="n">
        <v>46</v>
      </c>
      <c r="C63" s="16" t="n">
        <v>9</v>
      </c>
    </row>
    <row r="64">
      <c r="A64" s="16" t="n">
        <v>2028</v>
      </c>
      <c r="B64" s="16" t="n">
        <v>44</v>
      </c>
      <c r="C64" s="16" t="n">
        <v>10</v>
      </c>
    </row>
    <row r="65">
      <c r="A65" s="16" t="n">
        <v>2029</v>
      </c>
      <c r="B65" s="16" t="n">
        <v>42</v>
      </c>
      <c r="C65" s="16" t="n">
        <v>11</v>
      </c>
    </row>
    <row r="66">
      <c r="A66" s="16" t="n">
        <v>2030</v>
      </c>
      <c r="B66" s="16" t="n">
        <v>40</v>
      </c>
      <c r="C66" s="16" t="n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5" customWidth="1" min="5" max="5"/>
    <col width="15" customWidth="1" min="6" max="6"/>
  </cols>
  <sheetData>
    <row r="1">
      <c r="A1" s="5" t="inlineStr">
        <is>
          <t>Mi técnica</t>
        </is>
      </c>
    </row>
    <row r="2">
      <c r="A2" s="6" t="inlineStr">
        <is>
          <t>Escribe los servicios de UNA técnica en un mes normal. Precios sin IVA. Vienen cifras de EJEMPLO ilustrativo: cámbialas por las tuyas.</t>
        </is>
      </c>
    </row>
    <row r="4" ht="32" customHeight="1">
      <c r="A4" s="7" t="inlineStr">
        <is>
          <t>Servicio</t>
        </is>
      </c>
      <c r="B4" s="7" t="inlineStr">
        <is>
          <t>Precio sin IVA</t>
        </is>
      </c>
      <c r="C4" s="7" t="inlineStr">
        <is>
          <t>Material por servicio</t>
        </is>
      </c>
      <c r="D4" s="7" t="inlineStr">
        <is>
          <t>Servicios al mes</t>
        </is>
      </c>
      <c r="E4" s="7" t="inlineStr">
        <is>
          <t>Cobrado al mes</t>
        </is>
      </c>
      <c r="F4" s="7" t="inlineStr">
        <is>
          <t>Material al mes</t>
        </is>
      </c>
    </row>
    <row r="5">
      <c r="A5" s="22" t="inlineStr">
        <is>
          <t>Gelish en manos (ejemplo)</t>
        </is>
      </c>
      <c r="B5" s="23" t="n">
        <v>300</v>
      </c>
      <c r="C5" s="23" t="n">
        <v>25</v>
      </c>
      <c r="D5" s="24" t="n">
        <v>45</v>
      </c>
      <c r="E5" s="25">
        <f>IF(A5="",0,N(B5)*N(D5))</f>
        <v/>
      </c>
      <c r="F5" s="25">
        <f>IF(A5="",0,N(C5)*N(D5))</f>
        <v/>
      </c>
    </row>
    <row r="6">
      <c r="A6" s="22" t="inlineStr">
        <is>
          <t>Acrílico completo (ejemplo)</t>
        </is>
      </c>
      <c r="B6" s="23" t="n">
        <v>450</v>
      </c>
      <c r="C6" s="23" t="n">
        <v>55</v>
      </c>
      <c r="D6" s="24" t="n">
        <v>25</v>
      </c>
      <c r="E6" s="25">
        <f>IF(A6="",0,N(B6)*N(D6))</f>
        <v/>
      </c>
      <c r="F6" s="25">
        <f>IF(A6="",0,N(C6)*N(D6))</f>
        <v/>
      </c>
    </row>
    <row r="7">
      <c r="A7" s="22" t="inlineStr">
        <is>
          <t>Retoque de acrílico (ejemplo)</t>
        </is>
      </c>
      <c r="B7" s="23" t="n">
        <v>350</v>
      </c>
      <c r="C7" s="23" t="n">
        <v>35</v>
      </c>
      <c r="D7" s="24" t="n">
        <v>10</v>
      </c>
      <c r="E7" s="25">
        <f>IF(A7="",0,N(B7)*N(D7))</f>
        <v/>
      </c>
      <c r="F7" s="25">
        <f>IF(A7="",0,N(C7)*N(D7))</f>
        <v/>
      </c>
    </row>
    <row r="8">
      <c r="A8" s="22" t="n"/>
      <c r="B8" s="23" t="n"/>
      <c r="C8" s="23" t="n"/>
      <c r="D8" s="24" t="n"/>
      <c r="E8" s="25">
        <f>IF(A8="",0,N(B8)*N(D8))</f>
        <v/>
      </c>
      <c r="F8" s="25">
        <f>IF(A8="",0,N(C8)*N(D8))</f>
        <v/>
      </c>
    </row>
    <row r="9">
      <c r="A9" s="22" t="n"/>
      <c r="B9" s="23" t="n"/>
      <c r="C9" s="23" t="n"/>
      <c r="D9" s="24" t="n"/>
      <c r="E9" s="25">
        <f>IF(A9="",0,N(B9)*N(D9))</f>
        <v/>
      </c>
      <c r="F9" s="25">
        <f>IF(A9="",0,N(C9)*N(D9))</f>
        <v/>
      </c>
    </row>
    <row r="10">
      <c r="A10" s="22" t="n"/>
      <c r="B10" s="23" t="n"/>
      <c r="C10" s="23" t="n"/>
      <c r="D10" s="24" t="n"/>
      <c r="E10" s="25">
        <f>IF(A10="",0,N(B10)*N(D10))</f>
        <v/>
      </c>
      <c r="F10" s="25">
        <f>IF(A10="",0,N(C10)*N(D10))</f>
        <v/>
      </c>
    </row>
    <row r="11">
      <c r="A11" s="22" t="n"/>
      <c r="B11" s="23" t="n"/>
      <c r="C11" s="23" t="n"/>
      <c r="D11" s="24" t="n"/>
      <c r="E11" s="25">
        <f>IF(A11="",0,N(B11)*N(D11))</f>
        <v/>
      </c>
      <c r="F11" s="25">
        <f>IF(A11="",0,N(C11)*N(D11))</f>
        <v/>
      </c>
    </row>
    <row r="12">
      <c r="A12" s="22" t="n"/>
      <c r="B12" s="23" t="n"/>
      <c r="C12" s="23" t="n"/>
      <c r="D12" s="24" t="n"/>
      <c r="E12" s="25">
        <f>IF(A12="",0,N(B12)*N(D12))</f>
        <v/>
      </c>
      <c r="F12" s="25">
        <f>IF(A12="",0,N(C12)*N(D12))</f>
        <v/>
      </c>
    </row>
    <row r="13">
      <c r="A13" s="26" t="inlineStr">
        <is>
          <t>Total del mes</t>
        </is>
      </c>
      <c r="E13" s="14">
        <f>SUM(E5:E12)</f>
        <v/>
      </c>
      <c r="F13" s="14">
        <f>SUM(F5:F12)</f>
        <v/>
      </c>
    </row>
    <row r="15">
      <c r="A15" s="8" t="inlineStr">
        <is>
          <t>Cobros, jornada y costos</t>
        </is>
      </c>
    </row>
    <row r="16">
      <c r="A16" s="9" t="inlineStr">
        <is>
          <t>¿El salón traslada IVA en sus precios?</t>
        </is>
      </c>
      <c r="D16" s="27" t="inlineStr">
        <is>
          <t>No</t>
        </is>
      </c>
    </row>
    <row r="17">
      <c r="A17" s="9" t="inlineStr">
        <is>
          <t>Parte de los cobros con tarjeta</t>
        </is>
      </c>
      <c r="D17" s="17" t="n">
        <v>0.6</v>
      </c>
    </row>
    <row r="18">
      <c r="A18" s="9" t="inlineStr">
        <is>
          <t>Comisión de la terminal, con IVA</t>
        </is>
      </c>
      <c r="D18" s="20" t="n">
        <v>0.04176</v>
      </c>
    </row>
    <row r="19">
      <c r="A19" s="9" t="inlineStr">
        <is>
          <t>Año para revisar la jornada máxima</t>
        </is>
      </c>
      <c r="D19" s="16" t="n">
        <v>2026</v>
      </c>
    </row>
    <row r="20">
      <c r="A20" s="9" t="inlineStr">
        <is>
          <t>Horas ordinarias programadas por semana para esta técnica</t>
        </is>
      </c>
      <c r="D20" s="28" t="n">
        <v>48</v>
      </c>
    </row>
    <row r="21">
      <c r="A21" s="9" t="inlineStr">
        <is>
          <t>Horas máximas programadas en un día</t>
        </is>
      </c>
      <c r="D21" s="28" t="n">
        <v>8</v>
      </c>
    </row>
    <row r="22">
      <c r="A22" s="9" t="inlineStr">
        <is>
          <t>Domingos trabajados al mes</t>
        </is>
      </c>
      <c r="D22" s="16" t="n">
        <v>0</v>
      </c>
    </row>
    <row r="23">
      <c r="A23" s="9" t="inlineStr">
        <is>
          <t>Costos fijos asignados a esta técnica (opcional)</t>
        </is>
      </c>
      <c r="D23" s="10" t="n"/>
    </row>
    <row r="25">
      <c r="A25" s="9" t="inlineStr">
        <is>
          <t>Costo de terminal del mes</t>
        </is>
      </c>
      <c r="D25" s="14">
        <f>IF(Listas!$C$2,E13*(1+IF(D16="Sí",0.16,0))*D17*D18,"")</f>
        <v/>
      </c>
    </row>
    <row r="26">
      <c r="A26" s="9" t="inlineStr">
        <is>
          <t>Jornada máxima del año elegido (h por semana)</t>
        </is>
      </c>
      <c r="D26" s="29">
        <f>IFERROR(VLOOKUP(D19,'Parámetros'!$A$62:$C$66,2,FALSE),"")</f>
        <v/>
      </c>
    </row>
    <row r="28">
      <c r="A28" s="30">
        <f>IF(NOT(ISNUMBER(D20)),"",IF(D20&gt;D26,"⚠ Las horas programadas superan la jornada máxima de "&amp;D19&amp;". Organiza turnos: el límite es por trabajadora, no por horario del salón.",""))</f>
        <v/>
      </c>
    </row>
    <row r="29">
      <c r="A29" s="30">
        <f>IF(NOT(ISNUMBER(D21)),"",IF(D21&gt;8,"⚠ Más de 8 horas en un día excede la jornada diurna (LFT art. 61). El tiempo sin poder salir del salón cuenta como jornada (art. 64).",""))</f>
        <v/>
      </c>
    </row>
  </sheetData>
  <mergeCells count="10">
    <mergeCell ref="A25:C25"/>
    <mergeCell ref="A19:C19"/>
    <mergeCell ref="A23:C23"/>
    <mergeCell ref="A22:C22"/>
    <mergeCell ref="A17:C17"/>
    <mergeCell ref="A18:C18"/>
    <mergeCell ref="A21:C21"/>
    <mergeCell ref="A26:C26"/>
    <mergeCell ref="A20:C20"/>
    <mergeCell ref="A16:C16"/>
  </mergeCells>
  <dataValidations count="9">
    <dataValidation sqref="D16" showDropDown="0" showInputMessage="0" showErrorMessage="1" allowBlank="0" error="Elige Sí o No." type="list">
      <formula1>=Listas!$B$2:$B$3</formula1>
    </dataValidation>
    <dataValidation sqref="D17" showDropDown="0" showInputMessage="0" showErrorMessage="1" allowBlank="0" error="Escribe un porcentaje entre 0 % y 100 %." type="decimal" operator="between">
      <formula1>0</formula1>
      <formula2>1</formula2>
    </dataValidation>
    <dataValidation sqref="D18" showDropDown="0" showInputMessage="0" showErrorMessage="1" allowBlank="0" error="Escribe un porcentaje entre 0 % y 20 %." type="decimal" operator="between">
      <formula1>0</formula1>
      <formula2>0.2</formula2>
    </dataValidation>
    <dataValidation sqref="D19" showDropDown="0" showInputMessage="0" showErrorMessage="1" allowBlank="0" error="Elige un año entre 2026 y 2030." type="list">
      <formula1>=Listas!$D$2:$D$6</formula1>
    </dataValidation>
    <dataValidation sqref="D20" showDropDown="0" showInputMessage="0" showErrorMessage="1" allowBlank="0" error="Escribe las horas (0 a 84)." type="decimal" operator="between">
      <formula1>0</formula1>
      <formula2>84</formula2>
    </dataValidation>
    <dataValidation sqref="D21" showDropDown="0" showInputMessage="0" showErrorMessage="1" allowBlank="0" error="Escribe las horas (0 a 24)." type="decimal" operator="between">
      <formula1>0</formula1>
      <formula2>24</formula2>
    </dataValidation>
    <dataValidation sqref="D22" showDropDown="0" showInputMessage="0" showErrorMessage="1" allowBlank="0" error="Escribe de 0 a 5 domingos." type="whole" operator="between">
      <formula1>0</formula1>
      <formula2>5</formula2>
    </dataValidation>
    <dataValidation sqref="D23" showDropDown="0" showInputMessage="0" showErrorMessage="1" allowBlank="0" error="Escribe un número mayor o igual que 0." type="decimal" operator="greaterThanOrEqual">
      <formula1>0</formula1>
    </dataValidation>
    <dataValidation sqref="B5:D12" showDropDown="0" showInputMessage="0" showErrorMessage="1" allowBlank="1" error="Escribe un número mayor o igual que 0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</cols>
  <sheetData>
    <row r="1">
      <c r="A1" s="5" t="inlineStr">
        <is>
          <t>Esquemas</t>
        </is>
      </c>
    </row>
    <row r="2">
      <c r="A2" s="6" t="inlineStr">
        <is>
          <t>Compara tres formas de pagar a la misma técnica. Celdas azules: tus datos. Todo lo demás se calcula.</t>
        </is>
      </c>
    </row>
    <row r="3">
      <c r="A3" s="30">
        <f>IF(Listas!$C$2,"","⚠ Hay datos fuera de rango (porcentajes, montos o parámetros). Corrígelos para ver los resultados.")</f>
        <v/>
      </c>
    </row>
    <row r="4">
      <c r="A4" s="7" t="inlineStr">
        <is>
          <t>Concepto</t>
        </is>
      </c>
      <c r="B4" s="7" t="inlineStr">
        <is>
          <t>A · Sueldo fijo</t>
        </is>
      </c>
      <c r="C4" s="7" t="inlineStr">
        <is>
          <t>B · Fijo + comisión</t>
        </is>
      </c>
      <c r="D4" s="7" t="inlineStr">
        <is>
          <t>C · Solo comisión</t>
        </is>
      </c>
    </row>
    <row r="5">
      <c r="A5" s="9" t="inlineStr">
        <is>
          <t>Sueldo fijo mensual</t>
        </is>
      </c>
      <c r="B5" s="10" t="n">
        <v>12000</v>
      </c>
      <c r="C5" s="10" t="n">
        <v>10400</v>
      </c>
      <c r="D5" t="inlineStr">
        <is>
          <t>—</t>
        </is>
      </c>
    </row>
    <row r="6">
      <c r="A6" s="9" t="inlineStr">
        <is>
          <t>% de comisión sobre lo cobrado</t>
        </is>
      </c>
      <c r="B6" t="inlineStr">
        <is>
          <t>—</t>
        </is>
      </c>
      <c r="C6" s="17" t="n">
        <v>0.1</v>
      </c>
      <c r="D6" s="17" t="n">
        <v>0.4</v>
      </c>
    </row>
    <row r="7">
      <c r="A7" s="9" t="inlineStr">
        <is>
          <t>Volumen de servicios (1 = mes normal)</t>
        </is>
      </c>
      <c r="B7" s="31" t="n">
        <v>1</v>
      </c>
      <c r="C7" s="31" t="n">
        <v>1</v>
      </c>
      <c r="D7" s="31" t="n">
        <v>1</v>
      </c>
    </row>
    <row r="9">
      <c r="A9" s="9" t="inlineStr">
        <is>
          <t>Cobrado por sus servicios</t>
        </is>
      </c>
      <c r="B9" s="25">
        <f>IF(Listas!$C$2,'Mi técnica'!$E$13*$B$7,"")</f>
        <v/>
      </c>
      <c r="C9" s="25">
        <f>IF(Listas!$C$2,'Mi técnica'!$E$13*$C$7,"")</f>
        <v/>
      </c>
      <c r="D9" s="25">
        <f>IF(Listas!$C$2,'Mi técnica'!$E$13*$D$7,"")</f>
        <v/>
      </c>
    </row>
    <row r="10">
      <c r="A10" s="9" t="inlineStr">
        <is>
          <t>Material</t>
        </is>
      </c>
      <c r="B10" s="25">
        <f>IF(Listas!$C$2,'Mi técnica'!$F$13*$B$7,"")</f>
        <v/>
      </c>
      <c r="C10" s="25">
        <f>IF(Listas!$C$2,'Mi técnica'!$F$13*$C$7,"")</f>
        <v/>
      </c>
      <c r="D10" s="25">
        <f>IF(Listas!$C$2,'Mi técnica'!$F$13*$D$7,"")</f>
        <v/>
      </c>
    </row>
    <row r="11">
      <c r="A11" s="9" t="inlineStr">
        <is>
          <t>Terminal</t>
        </is>
      </c>
      <c r="B11" s="25">
        <f>IF(Listas!$C$2,'Mi técnica'!$D$25*$B$7,"")</f>
        <v/>
      </c>
      <c r="C11" s="25">
        <f>IF(Listas!$C$2,'Mi técnica'!$D$25*$C$7,"")</f>
        <v/>
      </c>
      <c r="D11" s="25">
        <f>IF(Listas!$C$2,'Mi técnica'!$D$25*$D$7,"")</f>
        <v/>
      </c>
    </row>
    <row r="12">
      <c r="A12" s="9" t="inlineStr">
        <is>
          <t>Parte fija del salario</t>
        </is>
      </c>
      <c r="B12" s="25">
        <f>IF(Listas!$C$2,$B$5,"")</f>
        <v/>
      </c>
      <c r="C12" s="25">
        <f>IF(Listas!$C$2,$C$5,"")</f>
        <v/>
      </c>
      <c r="D12" s="25">
        <f>IF(Listas!$C$2,0,"")</f>
        <v/>
      </c>
    </row>
    <row r="13">
      <c r="A13" s="9" t="inlineStr">
        <is>
          <t>Comisión</t>
        </is>
      </c>
      <c r="B13" s="25">
        <f>IF(Listas!$C$2,0*B9,"")</f>
        <v/>
      </c>
      <c r="C13" s="25">
        <f>IF(Listas!$C$2,$C$6*C9,"")</f>
        <v/>
      </c>
      <c r="D13" s="25">
        <f>IF(Listas!$C$2,$D$6*D9,"")</f>
        <v/>
      </c>
    </row>
    <row r="14">
      <c r="A14" s="9" t="inlineStr">
        <is>
          <t>Salario ordinario</t>
        </is>
      </c>
      <c r="B14" s="25">
        <f>IF(Listas!$C$2,B12+B13,"")</f>
        <v/>
      </c>
      <c r="C14" s="25">
        <f>IF(Listas!$C$2,C12+C13,"")</f>
        <v/>
      </c>
      <c r="D14" s="25">
        <f>IF(Listas!$C$2,D12+D13,"")</f>
        <v/>
      </c>
    </row>
    <row r="15">
      <c r="A15" s="9" t="inlineStr">
        <is>
          <t>Piso legal del mes</t>
        </is>
      </c>
      <c r="B15" s="25">
        <f>IF(Listas!$C$2,'Parámetros'!$B$8*'Parámetros'!$B$10,"")</f>
        <v/>
      </c>
      <c r="C15" s="25">
        <f>IF(Listas!$C$2,'Parámetros'!$B$8*'Parámetros'!$B$10,"")</f>
        <v/>
      </c>
      <c r="D15" s="25">
        <f>IF(Listas!$C$2,'Parámetros'!$B$8*'Parámetros'!$B$10,"")</f>
        <v/>
      </c>
    </row>
    <row r="16">
      <c r="A16" s="9" t="inlineStr">
        <is>
          <t>Complemento al mínimo</t>
        </is>
      </c>
      <c r="B16" s="25">
        <f>IF(Listas!$C$2,MAX(0,B15-B14),"")</f>
        <v/>
      </c>
      <c r="C16" s="25">
        <f>IF(Listas!$C$2,MAX(0,C15-C14),"")</f>
        <v/>
      </c>
      <c r="D16" s="25">
        <f>IF(Listas!$C$2,MAX(0,D15-D14),"")</f>
        <v/>
      </c>
    </row>
    <row r="17">
      <c r="A17" s="32" t="inlineStr">
        <is>
          <t>SALARIO BRUTO</t>
        </is>
      </c>
      <c r="B17" s="33">
        <f>IF(Listas!$C$2,B14+B16,"")</f>
        <v/>
      </c>
      <c r="C17" s="33">
        <f>IF(Listas!$C$2,C14+C16,"")</f>
        <v/>
      </c>
      <c r="D17" s="33">
        <f>IF(Listas!$C$2,D14+D16,"")</f>
        <v/>
      </c>
    </row>
    <row r="18">
      <c r="A18" s="9" t="inlineStr">
        <is>
          <t>Salario diario</t>
        </is>
      </c>
      <c r="B18" s="25">
        <f>IF(Listas!$C$2,B17/'Parámetros'!$B$10,"")</f>
        <v/>
      </c>
      <c r="C18" s="25">
        <f>IF(Listas!$C$2,C17/'Parámetros'!$B$10,"")</f>
        <v/>
      </c>
      <c r="D18" s="25">
        <f>IF(Listas!$C$2,D17/'Parámetros'!$B$10,"")</f>
        <v/>
      </c>
    </row>
    <row r="19">
      <c r="A19" s="9" t="inlineStr">
        <is>
          <t>Parte variable diaria</t>
        </is>
      </c>
      <c r="B19" s="25">
        <f>IF(Listas!$C$2,(B17-B12)/'Parámetros'!$B$10,"")</f>
        <v/>
      </c>
      <c r="C19" s="25">
        <f>IF(Listas!$C$2,(C17-C12)/'Parámetros'!$B$10,"")</f>
        <v/>
      </c>
      <c r="D19" s="25">
        <f>IF(Listas!$C$2,(D17-D12)/'Parámetros'!$B$10,"")</f>
        <v/>
      </c>
    </row>
    <row r="20">
      <c r="A20" s="9" t="inlineStr">
        <is>
          <t>Aguinaldo (prorrateo mensual)</t>
        </is>
      </c>
      <c r="B20" s="25">
        <f>IF(Listas!$C$2,B18*'Parámetros'!$B$12/12,"")</f>
        <v/>
      </c>
      <c r="C20" s="25">
        <f>IF(Listas!$C$2,C18*'Parámetros'!$B$12/12,"")</f>
        <v/>
      </c>
      <c r="D20" s="25">
        <f>IF(Listas!$C$2,D18*'Parámetros'!$B$12/12,"")</f>
        <v/>
      </c>
    </row>
    <row r="21">
      <c r="A21" s="9" t="inlineStr">
        <is>
          <t>Vacaciones de la parte variable (prorrateo)</t>
        </is>
      </c>
      <c r="B21" s="25">
        <f>IF(Listas!$C$2,B19*'Parámetros'!$B$13/12,"")</f>
        <v/>
      </c>
      <c r="C21" s="25">
        <f>IF(Listas!$C$2,C19*'Parámetros'!$B$13/12,"")</f>
        <v/>
      </c>
      <c r="D21" s="25">
        <f>IF(Listas!$C$2,D19*'Parámetros'!$B$13/12,"")</f>
        <v/>
      </c>
    </row>
    <row r="22">
      <c r="A22" s="9" t="inlineStr">
        <is>
          <t>Prima vacacional (prorrateo)</t>
        </is>
      </c>
      <c r="B22" s="25">
        <f>IF(Listas!$C$2,B18*'Parámetros'!$B$13*'Parámetros'!$B$14/12,"")</f>
        <v/>
      </c>
      <c r="C22" s="25">
        <f>IF(Listas!$C$2,C18*'Parámetros'!$B$13*'Parámetros'!$B$14/12,"")</f>
        <v/>
      </c>
      <c r="D22" s="25">
        <f>IF(Listas!$C$2,D18*'Parámetros'!$B$13*'Parámetros'!$B$14/12,"")</f>
        <v/>
      </c>
    </row>
    <row r="23">
      <c r="A23" s="9" t="inlineStr">
        <is>
          <t>Prima dominical</t>
        </is>
      </c>
      <c r="B23" s="25">
        <f>IF(Listas!$C$2,N('Mi técnica'!$D$22)*B18*'Parámetros'!$B$15,"")</f>
        <v/>
      </c>
      <c r="C23" s="25">
        <f>IF(Listas!$C$2,N('Mi técnica'!$D$22)*C18*'Parámetros'!$B$15,"")</f>
        <v/>
      </c>
      <c r="D23" s="25">
        <f>IF(Listas!$C$2,N('Mi técnica'!$D$22)*D18*'Parámetros'!$B$15,"")</f>
        <v/>
      </c>
    </row>
    <row r="24">
      <c r="A24" s="9" t="inlineStr">
        <is>
          <t>Prestaciones prorrateadas</t>
        </is>
      </c>
      <c r="B24" s="25">
        <f>IF(Listas!$C$2,SUM(B20:B23),"")</f>
        <v/>
      </c>
      <c r="C24" s="25">
        <f>IF(Listas!$C$2,SUM(C20:C23),"")</f>
        <v/>
      </c>
      <c r="D24" s="25">
        <f>IF(Listas!$C$2,SUM(D20:D23),"")</f>
        <v/>
      </c>
    </row>
    <row r="25">
      <c r="A25" s="9" t="inlineStr">
        <is>
          <t>Salario base de cotización diario</t>
        </is>
      </c>
      <c r="B25" s="25">
        <f>IF(Listas!$C$2,MIN(MAX(B18*(1+('Parámetros'!$B$12+'Parámetros'!$B$13*'Parámetros'!$B$14)/365)+B23/'Parámetros'!$B$10,'Parámetros'!$B$5),25*'Parámetros'!$B$9),"")</f>
        <v/>
      </c>
      <c r="C25" s="25">
        <f>IF(Listas!$C$2,MIN(MAX(C18*(1+('Parámetros'!$B$12+'Parámetros'!$B$13*'Parámetros'!$B$14)/365)+C23/'Parámetros'!$B$10,'Parámetros'!$B$5),25*'Parámetros'!$B$9),"")</f>
        <v/>
      </c>
      <c r="D25" s="25">
        <f>IF(Listas!$C$2,MIN(MAX(D18*(1+('Parámetros'!$B$12+'Parámetros'!$B$13*'Parámetros'!$B$14)/365)+D23/'Parámetros'!$B$10,'Parámetros'!$B$5),25*'Parámetros'!$B$9),"")</f>
        <v/>
      </c>
    </row>
    <row r="26">
      <c r="A26" s="9" t="inlineStr">
        <is>
          <t>Cesantía y vejez patronal (%)</t>
        </is>
      </c>
      <c r="B26" s="34">
        <f>IF(Listas!$C$2,IF(B25&lt;='Parámetros'!$B$5,'Parámetros'!$B$35,IF(B25/'Parámetros'!$B$9&lt;='Parámetros'!$C$36,'Parámetros'!$B$36,IF(B25/'Parámetros'!$B$9&lt;='Parámetros'!$C$37,'Parámetros'!$B$37,IF(B25/'Parámetros'!$B$9&lt;='Parámetros'!$C$38,'Parámetros'!$B$38,IF(B25/'Parámetros'!$B$9&lt;='Parámetros'!$C$39,'Parámetros'!$B$39,IF(B25/'Parámetros'!$B$9&lt;='Parámetros'!$C$40,'Parámetros'!$B$40,IF(B25/'Parámetros'!$B$9&lt;='Parámetros'!$C$41,'Parámetros'!$B$41,'Parámetros'!$B$42))))))),"")</f>
        <v/>
      </c>
      <c r="C26" s="34">
        <f>IF(Listas!$C$2,IF(C25&lt;='Parámetros'!$B$5,'Parámetros'!$B$35,IF(C25/'Parámetros'!$B$9&lt;='Parámetros'!$C$36,'Parámetros'!$B$36,IF(C25/'Parámetros'!$B$9&lt;='Parámetros'!$C$37,'Parámetros'!$B$37,IF(C25/'Parámetros'!$B$9&lt;='Parámetros'!$C$38,'Parámetros'!$B$38,IF(C25/'Parámetros'!$B$9&lt;='Parámetros'!$C$39,'Parámetros'!$B$39,IF(C25/'Parámetros'!$B$9&lt;='Parámetros'!$C$40,'Parámetros'!$B$40,IF(C25/'Parámetros'!$B$9&lt;='Parámetros'!$C$41,'Parámetros'!$B$41,'Parámetros'!$B$42))))))),"")</f>
        <v/>
      </c>
      <c r="D26" s="34">
        <f>IF(Listas!$C$2,IF(D25&lt;='Parámetros'!$B$5,'Parámetros'!$B$35,IF(D25/'Parámetros'!$B$9&lt;='Parámetros'!$C$36,'Parámetros'!$B$36,IF(D25/'Parámetros'!$B$9&lt;='Parámetros'!$C$37,'Parámetros'!$B$37,IF(D25/'Parámetros'!$B$9&lt;='Parámetros'!$C$38,'Parámetros'!$B$38,IF(D25/'Parámetros'!$B$9&lt;='Parámetros'!$C$39,'Parámetros'!$B$39,IF(D25/'Parámetros'!$B$9&lt;='Parámetros'!$C$40,'Parámetros'!$B$40,IF(D25/'Parámetros'!$B$9&lt;='Parámetros'!$C$41,'Parámetros'!$B$41,'Parámetros'!$B$42))))))),"")</f>
        <v/>
      </c>
    </row>
    <row r="27">
      <c r="A27" s="9" t="inlineStr">
        <is>
          <t>IMSS patronal</t>
        </is>
      </c>
      <c r="B27" s="25">
        <f>IF(Listas!$C$2,'Parámetros'!$B$10*('Parámetros'!$B$17*'Parámetros'!$B$9+'Parámetros'!$B$18*MAX(0,B25-3*'Parámetros'!$B$9)+('Parámetros'!$B$19+'Parámetros'!$B$20+'Parámetros'!$B$21+'Parámetros'!$B$22+'Parámetros'!$B$23+B26+'Parámetros'!$B$24)*B25),"")</f>
        <v/>
      </c>
      <c r="C27" s="25">
        <f>IF(Listas!$C$2,'Parámetros'!$B$10*('Parámetros'!$B$17*'Parámetros'!$B$9+'Parámetros'!$B$18*MAX(0,C25-3*'Parámetros'!$B$9)+('Parámetros'!$B$19+'Parámetros'!$B$20+'Parámetros'!$B$21+'Parámetros'!$B$22+'Parámetros'!$B$23+C26+'Parámetros'!$B$24)*C25),"")</f>
        <v/>
      </c>
      <c r="D27" s="25">
        <f>IF(Listas!$C$2,'Parámetros'!$B$10*('Parámetros'!$B$17*'Parámetros'!$B$9+'Parámetros'!$B$18*MAX(0,D25-3*'Parámetros'!$B$9)+('Parámetros'!$B$19+'Parámetros'!$B$20+'Parámetros'!$B$21+'Parámetros'!$B$22+'Parámetros'!$B$23+D26+'Parámetros'!$B$24)*D25),"")</f>
        <v/>
      </c>
    </row>
    <row r="28">
      <c r="A28" s="9" t="inlineStr">
        <is>
          <t>Cuotas obreras IMSS</t>
        </is>
      </c>
      <c r="B28" s="25">
        <f>IF(Listas!$C$2,'Parámetros'!$B$10*('Parámetros'!$B$28*MAX(0,B25-3*'Parámetros'!$B$9)+('Parámetros'!$B$29+'Parámetros'!$B$30+'Parámetros'!$B$31+'Parámetros'!$B$32)*B25),"")</f>
        <v/>
      </c>
      <c r="C28" s="25">
        <f>IF(Listas!$C$2,'Parámetros'!$B$10*('Parámetros'!$B$28*MAX(0,C25-3*'Parámetros'!$B$9)+('Parámetros'!$B$29+'Parámetros'!$B$30+'Parámetros'!$B$31+'Parámetros'!$B$32)*C25),"")</f>
        <v/>
      </c>
      <c r="D28" s="25">
        <f>IF(Listas!$C$2,'Parámetros'!$B$10*('Parámetros'!$B$28*MAX(0,D25-3*'Parámetros'!$B$9)+('Parámetros'!$B$29+'Parámetros'!$B$30+'Parámetros'!$B$31+'Parámetros'!$B$32)*D25),"")</f>
        <v/>
      </c>
    </row>
    <row r="29">
      <c r="A29" s="9" t="inlineStr">
        <is>
          <t>¿El salón paga la cuota obrera? (LSS art. 36)</t>
        </is>
      </c>
      <c r="B29" s="35">
        <f>IF(Listas!$C$2,IF(ABS(B17-B15)&lt;0.005,"Sí","No"),"")</f>
        <v/>
      </c>
      <c r="C29" s="35">
        <f>IF(Listas!$C$2,IF(ABS(C17-C15)&lt;0.005,"Sí","No"),"")</f>
        <v/>
      </c>
      <c r="D29" s="35">
        <f>IF(Listas!$C$2,IF(ABS(D17-D15)&lt;0.005,"Sí","No"),"")</f>
        <v/>
      </c>
    </row>
    <row r="30">
      <c r="A30" s="9" t="inlineStr">
        <is>
          <t>Cuotas obreras a cargo del salón</t>
        </is>
      </c>
      <c r="B30" s="25">
        <f>IF(Listas!$C$2,IF(B29="Sí",B28,0),"")</f>
        <v/>
      </c>
      <c r="C30" s="25">
        <f>IF(Listas!$C$2,IF(C29="Sí",C28,0),"")</f>
        <v/>
      </c>
      <c r="D30" s="25">
        <f>IF(Listas!$C$2,IF(D29="Sí",D28,0),"")</f>
        <v/>
      </c>
    </row>
    <row r="31">
      <c r="A31" s="9" t="inlineStr">
        <is>
          <t>Cuotas obreras retenidas a la trabajadora</t>
        </is>
      </c>
      <c r="B31" s="25">
        <f>IF(Listas!$C$2,IF(B29="Sí",0,B28),"")</f>
        <v/>
      </c>
      <c r="C31" s="25">
        <f>IF(Listas!$C$2,IF(C29="Sí",0,C28),"")</f>
        <v/>
      </c>
      <c r="D31" s="25">
        <f>IF(Listas!$C$2,IF(D29="Sí",0,D28),"")</f>
        <v/>
      </c>
    </row>
    <row r="32">
      <c r="A32" s="9" t="inlineStr">
        <is>
          <t>Infonavit</t>
        </is>
      </c>
      <c r="B32" s="25">
        <f>IF(Listas!$C$2,'Parámetros'!$B$10*'Parámetros'!$B$25*B25,"")</f>
        <v/>
      </c>
      <c r="C32" s="25">
        <f>IF(Listas!$C$2,'Parámetros'!$B$10*'Parámetros'!$B$25*C25,"")</f>
        <v/>
      </c>
      <c r="D32" s="25">
        <f>IF(Listas!$C$2,'Parámetros'!$B$10*'Parámetros'!$B$25*D25,"")</f>
        <v/>
      </c>
    </row>
    <row r="33">
      <c r="A33" s="9" t="inlineStr">
        <is>
          <t>Impuesto sobre nómina</t>
        </is>
      </c>
      <c r="B33" s="25">
        <f>IF(Listas!$C$2,'Parámetros'!$B$26*(B17+B24),"")</f>
        <v/>
      </c>
      <c r="C33" s="25">
        <f>IF(Listas!$C$2,'Parámetros'!$B$26*(C17+C24),"")</f>
        <v/>
      </c>
      <c r="D33" s="25">
        <f>IF(Listas!$C$2,'Parámetros'!$B$26*(D17+D24),"")</f>
        <v/>
      </c>
    </row>
    <row r="34">
      <c r="A34" s="36" t="inlineStr">
        <is>
          <t>COSTO PATRONAL</t>
        </is>
      </c>
      <c r="B34" s="37">
        <f>IF(Listas!$C$2,B27+B30+B32+B33,"")</f>
        <v/>
      </c>
      <c r="C34" s="37">
        <f>IF(Listas!$C$2,C27+C30+C32+C33,"")</f>
        <v/>
      </c>
      <c r="D34" s="37">
        <f>IF(Listas!$C$2,D27+D30+D32+D33,"")</f>
        <v/>
      </c>
    </row>
    <row r="35">
      <c r="A35" s="32" t="inlineStr">
        <is>
          <t>COSTO LABORAL TOTAL</t>
        </is>
      </c>
      <c r="B35" s="33">
        <f>IF(Listas!$C$2,B17+B24+B34,"")</f>
        <v/>
      </c>
      <c r="C35" s="33">
        <f>IF(Listas!$C$2,C17+C24+C34,"")</f>
        <v/>
      </c>
      <c r="D35" s="33">
        <f>IF(Listas!$C$2,D17+D24+D34,"")</f>
        <v/>
      </c>
    </row>
    <row r="36">
      <c r="A36" s="9" t="inlineStr">
        <is>
          <t>ISR antes de subsidio</t>
        </is>
      </c>
      <c r="B36" s="25">
        <f>IF(Listas!$C$2,IF(B17&lt;='Parámetros'!$B$5*'Parámetros'!$B$10+0.005,0,VLOOKUP(B17,'Parámetros'!$A$46:$C$56,2,TRUE)+(B17-VLOOKUP(B17,'Parámetros'!$A$46:$C$56,1,TRUE))*VLOOKUP(B17,'Parámetros'!$A$46:$C$56,3,TRUE)),"")</f>
        <v/>
      </c>
      <c r="C36" s="25">
        <f>IF(Listas!$C$2,IF(C17&lt;='Parámetros'!$B$5*'Parámetros'!$B$10+0.005,0,VLOOKUP(C17,'Parámetros'!$A$46:$C$56,2,TRUE)+(C17-VLOOKUP(C17,'Parámetros'!$A$46:$C$56,1,TRUE))*VLOOKUP(C17,'Parámetros'!$A$46:$C$56,3,TRUE)),"")</f>
        <v/>
      </c>
      <c r="D36" s="25">
        <f>IF(Listas!$C$2,IF(D17&lt;='Parámetros'!$B$5*'Parámetros'!$B$10+0.005,0,VLOOKUP(D17,'Parámetros'!$A$46:$C$56,2,TRUE)+(D17-VLOOKUP(D17,'Parámetros'!$A$46:$C$56,1,TRUE))*VLOOKUP(D17,'Parámetros'!$A$46:$C$56,3,TRUE)),"")</f>
        <v/>
      </c>
    </row>
    <row r="37">
      <c r="A37" s="9" t="inlineStr">
        <is>
          <t>Subsidio para el empleo</t>
        </is>
      </c>
      <c r="B37" s="25">
        <f>IF(Listas!$C$2,IF(B17&lt;='Parámetros'!$B$59,'Parámetros'!$B$58*'Parámetros'!$B$9*'Parámetros'!$B$10,0),"")</f>
        <v/>
      </c>
      <c r="C37" s="25">
        <f>IF(Listas!$C$2,IF(C17&lt;='Parámetros'!$B$59,'Parámetros'!$B$58*'Parámetros'!$B$9*'Parámetros'!$B$10,0),"")</f>
        <v/>
      </c>
      <c r="D37" s="25">
        <f>IF(Listas!$C$2,IF(D17&lt;='Parámetros'!$B$59,'Parámetros'!$B$58*'Parámetros'!$B$9*'Parámetros'!$B$10,0),"")</f>
        <v/>
      </c>
    </row>
    <row r="38">
      <c r="A38" s="9" t="inlineStr">
        <is>
          <t>ISR retenido</t>
        </is>
      </c>
      <c r="B38" s="25">
        <f>IF(Listas!$C$2,MAX(0,B36-B37),"")</f>
        <v/>
      </c>
      <c r="C38" s="25">
        <f>IF(Listas!$C$2,MAX(0,C36-C37),"")</f>
        <v/>
      </c>
      <c r="D38" s="25">
        <f>IF(Listas!$C$2,MAX(0,D36-D37),"")</f>
        <v/>
      </c>
    </row>
    <row r="39">
      <c r="A39" s="38" t="inlineStr">
        <is>
          <t>SALARIO NETO (lo que recibe)</t>
        </is>
      </c>
      <c r="B39" s="39">
        <f>IF(Listas!$C$2,B17-B31-B38,"")</f>
        <v/>
      </c>
      <c r="C39" s="39">
        <f>IF(Listas!$C$2,C17-C31-C38,"")</f>
        <v/>
      </c>
      <c r="D39" s="39">
        <f>IF(Listas!$C$2,D17-D31-D38,"")</f>
        <v/>
      </c>
    </row>
    <row r="40">
      <c r="A40" s="32" t="inlineStr">
        <is>
          <t>CONTRIBUCIÓN DE LA TÉCNICA</t>
        </is>
      </c>
      <c r="B40" s="33">
        <f>IF(Listas!$C$2,B9-B10-B11-B35,"")</f>
        <v/>
      </c>
      <c r="C40" s="33">
        <f>IF(Listas!$C$2,C9-C10-C11-C35,"")</f>
        <v/>
      </c>
      <c r="D40" s="33">
        <f>IF(Listas!$C$2,D9-D10-D11-D35,"")</f>
        <v/>
      </c>
    </row>
    <row r="41">
      <c r="A41" s="9" t="inlineStr">
        <is>
          <t>Costo laboral / cobrado</t>
        </is>
      </c>
      <c r="B41" s="40">
        <f>IF(Listas!$C$2,IF(B9=0,"",B35/B9),"")</f>
        <v/>
      </c>
      <c r="C41" s="40">
        <f>IF(Listas!$C$2,IF(C9=0,"",C35/C9),"")</f>
        <v/>
      </c>
      <c r="D41" s="40">
        <f>IF(Listas!$C$2,IF(D9=0,"",D35/D9),"")</f>
        <v/>
      </c>
    </row>
    <row r="42">
      <c r="A42" s="9" t="inlineStr">
        <is>
          <t>Resultado operativo estimado</t>
        </is>
      </c>
      <c r="B42" s="25">
        <f>IF(Listas!$C$2,IF('Mi técnica'!$D$23="","",B40-'Mi técnica'!$D$23*$B$7),"")</f>
        <v/>
      </c>
      <c r="C42" s="25">
        <f>IF(Listas!$C$2,IF('Mi técnica'!$D$23="","",C40-'Mi técnica'!$D$23*$C$7),"")</f>
        <v/>
      </c>
      <c r="D42" s="25">
        <f>IF(Listas!$C$2,IF('Mi técnica'!$D$23="","",D40-'Mi técnica'!$D$23*$D$7),"")</f>
        <v/>
      </c>
    </row>
    <row r="43">
      <c r="A43" s="9" t="inlineStr">
        <is>
          <t>Piso semanal de referencia</t>
        </is>
      </c>
      <c r="B43" s="25">
        <f>IF(Listas!$C$2,'Parámetros'!$B$8*7,"")</f>
        <v/>
      </c>
      <c r="C43" s="25">
        <f>IF(Listas!$C$2,'Parámetros'!$B$8*7,"")</f>
        <v/>
      </c>
      <c r="D43" s="25">
        <f>IF(Listas!$C$2,'Parámetros'!$B$8*7,"")</f>
        <v/>
      </c>
    </row>
    <row r="45">
      <c r="A45" s="30">
        <f>IF(AND(Listas!$C$2,ISNUMBER(B5)),IF(B5&lt;B15,"⚠ El sueldo fijo de A es menor al piso legal del mes: el contrato debe fijar al menos el mínimo.",""),"")</f>
        <v/>
      </c>
    </row>
    <row r="46">
      <c r="A46" s="30">
        <f>IF(Listas!$C$2,IF(MAX(B16,C16,D16)&gt;0,"⚠ Este mes el salón completa el mínimo: A $"&amp;TEXT(B16,"#,##0.00")&amp;" · B $"&amp;TEXT(C16,"#,##0.00")&amp;" · C $"&amp;TEXT(D16,"#,##0.00")&amp;".",""),"")</f>
        <v/>
      </c>
    </row>
    <row r="48">
      <c r="A48" s="8" t="inlineStr">
        <is>
          <t>Notas</t>
        </is>
      </c>
    </row>
    <row r="49">
      <c r="A49" s="6" t="inlineStr">
        <is>
          <t>• El piso se calcula por mes, pero la ley exige el mínimo por jornada y el pago es semanal: revisa cada semana contra el «Piso semanal de referencia». Una semana buena no compensa una floja.</t>
        </is>
      </c>
    </row>
    <row r="50">
      <c r="A50" s="6" t="inlineStr">
        <is>
          <t>• Comparar contra 30.4 días supone que la comisión ya incluye el pago del día de descanso. Punto por validar con tu asesor.</t>
        </is>
      </c>
    </row>
    <row r="51">
      <c r="A51" s="6" t="inlineStr">
        <is>
          <t>• Salario base de cotización aproximado con el mes actual; para salario variable la ley usa el promedio del bimestre anterior (LSS art. 30).</t>
        </is>
      </c>
    </row>
    <row r="52">
      <c r="A52" s="6" t="inlineStr">
        <is>
          <t>• El ISR es una estimación con la tarifa mensual 2026 y el subsidio de febrero a diciembre; la retención real la calcula tu nómina. No incluye aguinaldo ni prima vacacional en la base del mes.</t>
        </is>
      </c>
    </row>
    <row r="53">
      <c r="A53" s="6" t="inlineStr">
        <is>
          <t>• Contribución de la técnica ≠ utilidad: de ahí salen renta, recepción y demás costos fijos. El resultado operativo no incluye ISR ni PTU de la empresa.</t>
        </is>
      </c>
    </row>
    <row r="54">
      <c r="A54" s="6" t="inlineStr">
        <is>
          <t>• No calcula horas extra, PTU, prima de antigüedad, finiquitos ni indemnizaciones.</t>
        </is>
      </c>
    </row>
  </sheetData>
  <conditionalFormatting sqref="B40:D40">
    <cfRule type="expression" priority="1" dxfId="0">
      <formula>AND(ISNUMBER(B40),B40&lt;0)</formula>
    </cfRule>
  </conditionalFormatting>
  <dataValidations count="2">
    <dataValidation sqref="B5:C5" showDropDown="0" showInputMessage="0" showErrorMessage="1" allowBlank="0" error="Escribe un monto mayor o igual que 0." type="decimal" operator="greaterThanOrEqual">
      <formula1>0</formula1>
    </dataValidation>
    <dataValidation sqref="C6:D6" showDropDown="0" showInputMessage="0" showErrorMessage="1" allowBlank="0" error="Escribe un porcentaje entre 0 % y 100 %." type="decimal" operator="between">
      <formula1>0</formula1>
      <formula2>1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5" t="inlineStr">
        <is>
          <t>Volumen</t>
        </is>
      </c>
    </row>
    <row r="2">
      <c r="A2" s="6" t="inlineStr">
        <is>
          <t>Qué pasa en un mes flojo o lleno: el mismo cálculo con otro número de servicios. Cambia los porcentajes de la fila 5 si quieres.</t>
        </is>
      </c>
    </row>
    <row r="3">
      <c r="A3" s="30">
        <f>IF(Listas!$C$2,"","⚠ Hay datos fuera de rango en «Mi técnica» o «Esquemas».")</f>
        <v/>
      </c>
    </row>
    <row r="4">
      <c r="A4" s="7" t="inlineStr">
        <is>
          <t>Volumen de servicios</t>
        </is>
      </c>
      <c r="B4" s="7" t="inlineStr">
        <is>
          <t>Escenario 1</t>
        </is>
      </c>
      <c r="C4" s="7" t="inlineStr">
        <is>
          <t>Escenario 2</t>
        </is>
      </c>
      <c r="D4" s="7" t="inlineStr">
        <is>
          <t>Escenario 3</t>
        </is>
      </c>
      <c r="E4" s="7" t="inlineStr">
        <is>
          <t>Escenario 4</t>
        </is>
      </c>
    </row>
    <row r="5">
      <c r="A5" s="9" t="inlineStr">
        <is>
          <t>Porcentaje de un mes normal</t>
        </is>
      </c>
      <c r="B5" s="41" t="n">
        <v>0.6</v>
      </c>
      <c r="C5" s="41" t="n">
        <v>0.8</v>
      </c>
      <c r="D5" s="41" t="n">
        <v>1</v>
      </c>
      <c r="E5" s="41" t="n">
        <v>1.2</v>
      </c>
    </row>
    <row r="6">
      <c r="A6" s="9" t="inlineStr">
        <is>
          <t>Cobrado</t>
        </is>
      </c>
      <c r="B6" s="42">
        <f>B40</f>
        <v/>
      </c>
      <c r="C6" s="42">
        <f>E40</f>
        <v/>
      </c>
      <c r="D6" s="42">
        <f>H40</f>
        <v/>
      </c>
      <c r="E6" s="42">
        <f>K40</f>
        <v/>
      </c>
    </row>
    <row r="7">
      <c r="A7" s="9" t="inlineStr">
        <is>
          <t>A · Costo laboral total</t>
        </is>
      </c>
      <c r="B7" s="42">
        <f>B66</f>
        <v/>
      </c>
      <c r="C7" s="42">
        <f>E66</f>
        <v/>
      </c>
      <c r="D7" s="42">
        <f>H66</f>
        <v/>
      </c>
      <c r="E7" s="42">
        <f>K66</f>
        <v/>
      </c>
    </row>
    <row r="8">
      <c r="A8" s="9" t="inlineStr">
        <is>
          <t>B · Costo laboral total</t>
        </is>
      </c>
      <c r="B8" s="42">
        <f>C66</f>
        <v/>
      </c>
      <c r="C8" s="42">
        <f>F66</f>
        <v/>
      </c>
      <c r="D8" s="42">
        <f>I66</f>
        <v/>
      </c>
      <c r="E8" s="42">
        <f>L66</f>
        <v/>
      </c>
    </row>
    <row r="9">
      <c r="A9" s="9" t="inlineStr">
        <is>
          <t>C · Costo laboral total</t>
        </is>
      </c>
      <c r="B9" s="42">
        <f>D66</f>
        <v/>
      </c>
      <c r="C9" s="42">
        <f>G66</f>
        <v/>
      </c>
      <c r="D9" s="42">
        <f>J66</f>
        <v/>
      </c>
      <c r="E9" s="42">
        <f>M66</f>
        <v/>
      </c>
    </row>
    <row r="10">
      <c r="A10" s="36" t="inlineStr">
        <is>
          <t>A · Contribución</t>
        </is>
      </c>
      <c r="B10" s="14">
        <f>B71</f>
        <v/>
      </c>
      <c r="C10" s="14">
        <f>E71</f>
        <v/>
      </c>
      <c r="D10" s="14">
        <f>H71</f>
        <v/>
      </c>
      <c r="E10" s="14">
        <f>K71</f>
        <v/>
      </c>
    </row>
    <row r="11">
      <c r="A11" s="36" t="inlineStr">
        <is>
          <t>B · Contribución</t>
        </is>
      </c>
      <c r="B11" s="14">
        <f>C71</f>
        <v/>
      </c>
      <c r="C11" s="14">
        <f>F71</f>
        <v/>
      </c>
      <c r="D11" s="14">
        <f>I71</f>
        <v/>
      </c>
      <c r="E11" s="14">
        <f>L71</f>
        <v/>
      </c>
    </row>
    <row r="12">
      <c r="A12" s="36" t="inlineStr">
        <is>
          <t>C · Contribución</t>
        </is>
      </c>
      <c r="B12" s="14">
        <f>D71</f>
        <v/>
      </c>
      <c r="C12" s="14">
        <f>G71</f>
        <v/>
      </c>
      <c r="D12" s="14">
        <f>J71</f>
        <v/>
      </c>
      <c r="E12" s="14">
        <f>M71</f>
        <v/>
      </c>
    </row>
    <row r="13">
      <c r="A13" s="9" t="inlineStr">
        <is>
          <t>C · Complemento al mínimo</t>
        </is>
      </c>
      <c r="B13" s="42">
        <f>D47</f>
        <v/>
      </c>
      <c r="C13" s="42">
        <f>G47</f>
        <v/>
      </c>
      <c r="D13" s="42">
        <f>J47</f>
        <v/>
      </c>
      <c r="E13" s="42">
        <f>M47</f>
        <v/>
      </c>
    </row>
    <row r="14">
      <c r="A14" s="9" t="inlineStr">
        <is>
          <t>B · Complemento al mínimo</t>
        </is>
      </c>
      <c r="B14" s="42">
        <f>C47</f>
        <v/>
      </c>
      <c r="C14" s="42">
        <f>F47</f>
        <v/>
      </c>
      <c r="D14" s="42">
        <f>I47</f>
        <v/>
      </c>
      <c r="E14" s="42">
        <f>L47</f>
        <v/>
      </c>
    </row>
    <row r="38">
      <c r="A38" s="43" t="inlineStr">
        <is>
          <t>Cálculo detallado (no editar)</t>
        </is>
      </c>
    </row>
    <row r="39">
      <c r="B39" s="7" t="inlineStr">
        <is>
          <t>A · esc. 1</t>
        </is>
      </c>
      <c r="C39" s="7" t="inlineStr">
        <is>
          <t>B · esc. 1</t>
        </is>
      </c>
      <c r="D39" s="7" t="inlineStr">
        <is>
          <t>C · esc. 1</t>
        </is>
      </c>
      <c r="E39" s="7" t="inlineStr">
        <is>
          <t>A · esc. 2</t>
        </is>
      </c>
      <c r="F39" s="7" t="inlineStr">
        <is>
          <t>B · esc. 2</t>
        </is>
      </c>
      <c r="G39" s="7" t="inlineStr">
        <is>
          <t>C · esc. 2</t>
        </is>
      </c>
      <c r="H39" s="7" t="inlineStr">
        <is>
          <t>A · esc. 3</t>
        </is>
      </c>
      <c r="I39" s="7" t="inlineStr">
        <is>
          <t>B · esc. 3</t>
        </is>
      </c>
      <c r="J39" s="7" t="inlineStr">
        <is>
          <t>C · esc. 3</t>
        </is>
      </c>
      <c r="K39" s="7" t="inlineStr">
        <is>
          <t>A · esc. 4</t>
        </is>
      </c>
      <c r="L39" s="7" t="inlineStr">
        <is>
          <t>B · esc. 4</t>
        </is>
      </c>
      <c r="M39" s="7" t="inlineStr">
        <is>
          <t>C · esc. 4</t>
        </is>
      </c>
    </row>
    <row r="40">
      <c r="A40" s="44" t="inlineStr">
        <is>
          <t>Cobrado por sus servicios</t>
        </is>
      </c>
      <c r="B40" s="25">
        <f>IF(Listas!$C$2,'Mi técnica'!$E$13*B$5,"")</f>
        <v/>
      </c>
      <c r="C40" s="25">
        <f>IF(Listas!$C$2,'Mi técnica'!$E$13*B$5,"")</f>
        <v/>
      </c>
      <c r="D40" s="25">
        <f>IF(Listas!$C$2,'Mi técnica'!$E$13*B$5,"")</f>
        <v/>
      </c>
      <c r="E40" s="25">
        <f>IF(Listas!$C$2,'Mi técnica'!$E$13*C$5,"")</f>
        <v/>
      </c>
      <c r="F40" s="25">
        <f>IF(Listas!$C$2,'Mi técnica'!$E$13*C$5,"")</f>
        <v/>
      </c>
      <c r="G40" s="25">
        <f>IF(Listas!$C$2,'Mi técnica'!$E$13*C$5,"")</f>
        <v/>
      </c>
      <c r="H40" s="25">
        <f>IF(Listas!$C$2,'Mi técnica'!$E$13*D$5,"")</f>
        <v/>
      </c>
      <c r="I40" s="25">
        <f>IF(Listas!$C$2,'Mi técnica'!$E$13*D$5,"")</f>
        <v/>
      </c>
      <c r="J40" s="25">
        <f>IF(Listas!$C$2,'Mi técnica'!$E$13*D$5,"")</f>
        <v/>
      </c>
      <c r="K40" s="25">
        <f>IF(Listas!$C$2,'Mi técnica'!$E$13*E$5,"")</f>
        <v/>
      </c>
      <c r="L40" s="25">
        <f>IF(Listas!$C$2,'Mi técnica'!$E$13*E$5,"")</f>
        <v/>
      </c>
      <c r="M40" s="25">
        <f>IF(Listas!$C$2,'Mi técnica'!$E$13*E$5,"")</f>
        <v/>
      </c>
    </row>
    <row r="41">
      <c r="A41" s="44" t="inlineStr">
        <is>
          <t>Material</t>
        </is>
      </c>
      <c r="B41" s="25">
        <f>IF(Listas!$C$2,'Mi técnica'!$F$13*B$5,"")</f>
        <v/>
      </c>
      <c r="C41" s="25">
        <f>IF(Listas!$C$2,'Mi técnica'!$F$13*B$5,"")</f>
        <v/>
      </c>
      <c r="D41" s="25">
        <f>IF(Listas!$C$2,'Mi técnica'!$F$13*B$5,"")</f>
        <v/>
      </c>
      <c r="E41" s="25">
        <f>IF(Listas!$C$2,'Mi técnica'!$F$13*C$5,"")</f>
        <v/>
      </c>
      <c r="F41" s="25">
        <f>IF(Listas!$C$2,'Mi técnica'!$F$13*C$5,"")</f>
        <v/>
      </c>
      <c r="G41" s="25">
        <f>IF(Listas!$C$2,'Mi técnica'!$F$13*C$5,"")</f>
        <v/>
      </c>
      <c r="H41" s="25">
        <f>IF(Listas!$C$2,'Mi técnica'!$F$13*D$5,"")</f>
        <v/>
      </c>
      <c r="I41" s="25">
        <f>IF(Listas!$C$2,'Mi técnica'!$F$13*D$5,"")</f>
        <v/>
      </c>
      <c r="J41" s="25">
        <f>IF(Listas!$C$2,'Mi técnica'!$F$13*D$5,"")</f>
        <v/>
      </c>
      <c r="K41" s="25">
        <f>IF(Listas!$C$2,'Mi técnica'!$F$13*E$5,"")</f>
        <v/>
      </c>
      <c r="L41" s="25">
        <f>IF(Listas!$C$2,'Mi técnica'!$F$13*E$5,"")</f>
        <v/>
      </c>
      <c r="M41" s="25">
        <f>IF(Listas!$C$2,'Mi técnica'!$F$13*E$5,"")</f>
        <v/>
      </c>
    </row>
    <row r="42">
      <c r="A42" s="44" t="inlineStr">
        <is>
          <t>Terminal</t>
        </is>
      </c>
      <c r="B42" s="25">
        <f>IF(Listas!$C$2,'Mi técnica'!$D$25*B$5,"")</f>
        <v/>
      </c>
      <c r="C42" s="25">
        <f>IF(Listas!$C$2,'Mi técnica'!$D$25*B$5,"")</f>
        <v/>
      </c>
      <c r="D42" s="25">
        <f>IF(Listas!$C$2,'Mi técnica'!$D$25*B$5,"")</f>
        <v/>
      </c>
      <c r="E42" s="25">
        <f>IF(Listas!$C$2,'Mi técnica'!$D$25*C$5,"")</f>
        <v/>
      </c>
      <c r="F42" s="25">
        <f>IF(Listas!$C$2,'Mi técnica'!$D$25*C$5,"")</f>
        <v/>
      </c>
      <c r="G42" s="25">
        <f>IF(Listas!$C$2,'Mi técnica'!$D$25*C$5,"")</f>
        <v/>
      </c>
      <c r="H42" s="25">
        <f>IF(Listas!$C$2,'Mi técnica'!$D$25*D$5,"")</f>
        <v/>
      </c>
      <c r="I42" s="25">
        <f>IF(Listas!$C$2,'Mi técnica'!$D$25*D$5,"")</f>
        <v/>
      </c>
      <c r="J42" s="25">
        <f>IF(Listas!$C$2,'Mi técnica'!$D$25*D$5,"")</f>
        <v/>
      </c>
      <c r="K42" s="25">
        <f>IF(Listas!$C$2,'Mi técnica'!$D$25*E$5,"")</f>
        <v/>
      </c>
      <c r="L42" s="25">
        <f>IF(Listas!$C$2,'Mi técnica'!$D$25*E$5,"")</f>
        <v/>
      </c>
      <c r="M42" s="25">
        <f>IF(Listas!$C$2,'Mi técnica'!$D$25*E$5,"")</f>
        <v/>
      </c>
    </row>
    <row r="43">
      <c r="A43" s="44" t="inlineStr">
        <is>
          <t>Parte fija del salario</t>
        </is>
      </c>
      <c r="B43" s="25">
        <f>IF(Listas!$C$2,Esquemas!$B$5,"")</f>
        <v/>
      </c>
      <c r="C43" s="25">
        <f>IF(Listas!$C$2,Esquemas!$C$5,"")</f>
        <v/>
      </c>
      <c r="D43" s="25">
        <f>IF(Listas!$C$2,0,"")</f>
        <v/>
      </c>
      <c r="E43" s="25">
        <f>IF(Listas!$C$2,Esquemas!$B$5,"")</f>
        <v/>
      </c>
      <c r="F43" s="25">
        <f>IF(Listas!$C$2,Esquemas!$C$5,"")</f>
        <v/>
      </c>
      <c r="G43" s="25">
        <f>IF(Listas!$C$2,0,"")</f>
        <v/>
      </c>
      <c r="H43" s="25">
        <f>IF(Listas!$C$2,Esquemas!$B$5,"")</f>
        <v/>
      </c>
      <c r="I43" s="25">
        <f>IF(Listas!$C$2,Esquemas!$C$5,"")</f>
        <v/>
      </c>
      <c r="J43" s="25">
        <f>IF(Listas!$C$2,0,"")</f>
        <v/>
      </c>
      <c r="K43" s="25">
        <f>IF(Listas!$C$2,Esquemas!$B$5,"")</f>
        <v/>
      </c>
      <c r="L43" s="25">
        <f>IF(Listas!$C$2,Esquemas!$C$5,"")</f>
        <v/>
      </c>
      <c r="M43" s="25">
        <f>IF(Listas!$C$2,0,"")</f>
        <v/>
      </c>
    </row>
    <row r="44">
      <c r="A44" s="44" t="inlineStr">
        <is>
          <t>Comisión</t>
        </is>
      </c>
      <c r="B44" s="25">
        <f>IF(Listas!$C$2,0*B40,"")</f>
        <v/>
      </c>
      <c r="C44" s="25">
        <f>IF(Listas!$C$2,Esquemas!$C$6*C40,"")</f>
        <v/>
      </c>
      <c r="D44" s="25">
        <f>IF(Listas!$C$2,Esquemas!$D$6*D40,"")</f>
        <v/>
      </c>
      <c r="E44" s="25">
        <f>IF(Listas!$C$2,0*E40,"")</f>
        <v/>
      </c>
      <c r="F44" s="25">
        <f>IF(Listas!$C$2,Esquemas!$C$6*F40,"")</f>
        <v/>
      </c>
      <c r="G44" s="25">
        <f>IF(Listas!$C$2,Esquemas!$D$6*G40,"")</f>
        <v/>
      </c>
      <c r="H44" s="25">
        <f>IF(Listas!$C$2,0*H40,"")</f>
        <v/>
      </c>
      <c r="I44" s="25">
        <f>IF(Listas!$C$2,Esquemas!$C$6*I40,"")</f>
        <v/>
      </c>
      <c r="J44" s="25">
        <f>IF(Listas!$C$2,Esquemas!$D$6*J40,"")</f>
        <v/>
      </c>
      <c r="K44" s="25">
        <f>IF(Listas!$C$2,0*K40,"")</f>
        <v/>
      </c>
      <c r="L44" s="25">
        <f>IF(Listas!$C$2,Esquemas!$C$6*L40,"")</f>
        <v/>
      </c>
      <c r="M44" s="25">
        <f>IF(Listas!$C$2,Esquemas!$D$6*M40,"")</f>
        <v/>
      </c>
    </row>
    <row r="45">
      <c r="A45" s="44" t="inlineStr">
        <is>
          <t>Salario ordinario</t>
        </is>
      </c>
      <c r="B45" s="25">
        <f>IF(Listas!$C$2,B43+B44,"")</f>
        <v/>
      </c>
      <c r="C45" s="25">
        <f>IF(Listas!$C$2,C43+C44,"")</f>
        <v/>
      </c>
      <c r="D45" s="25">
        <f>IF(Listas!$C$2,D43+D44,"")</f>
        <v/>
      </c>
      <c r="E45" s="25">
        <f>IF(Listas!$C$2,E43+E44,"")</f>
        <v/>
      </c>
      <c r="F45" s="25">
        <f>IF(Listas!$C$2,F43+F44,"")</f>
        <v/>
      </c>
      <c r="G45" s="25">
        <f>IF(Listas!$C$2,G43+G44,"")</f>
        <v/>
      </c>
      <c r="H45" s="25">
        <f>IF(Listas!$C$2,H43+H44,"")</f>
        <v/>
      </c>
      <c r="I45" s="25">
        <f>IF(Listas!$C$2,I43+I44,"")</f>
        <v/>
      </c>
      <c r="J45" s="25">
        <f>IF(Listas!$C$2,J43+J44,"")</f>
        <v/>
      </c>
      <c r="K45" s="25">
        <f>IF(Listas!$C$2,K43+K44,"")</f>
        <v/>
      </c>
      <c r="L45" s="25">
        <f>IF(Listas!$C$2,L43+L44,"")</f>
        <v/>
      </c>
      <c r="M45" s="25">
        <f>IF(Listas!$C$2,M43+M44,"")</f>
        <v/>
      </c>
    </row>
    <row r="46">
      <c r="A46" s="44" t="inlineStr">
        <is>
          <t>Piso legal del mes</t>
        </is>
      </c>
      <c r="B46" s="25">
        <f>IF(Listas!$C$2,'Parámetros'!$B$8*'Parámetros'!$B$10,"")</f>
        <v/>
      </c>
      <c r="C46" s="25">
        <f>IF(Listas!$C$2,'Parámetros'!$B$8*'Parámetros'!$B$10,"")</f>
        <v/>
      </c>
      <c r="D46" s="25">
        <f>IF(Listas!$C$2,'Parámetros'!$B$8*'Parámetros'!$B$10,"")</f>
        <v/>
      </c>
      <c r="E46" s="25">
        <f>IF(Listas!$C$2,'Parámetros'!$B$8*'Parámetros'!$B$10,"")</f>
        <v/>
      </c>
      <c r="F46" s="25">
        <f>IF(Listas!$C$2,'Parámetros'!$B$8*'Parámetros'!$B$10,"")</f>
        <v/>
      </c>
      <c r="G46" s="25">
        <f>IF(Listas!$C$2,'Parámetros'!$B$8*'Parámetros'!$B$10,"")</f>
        <v/>
      </c>
      <c r="H46" s="25">
        <f>IF(Listas!$C$2,'Parámetros'!$B$8*'Parámetros'!$B$10,"")</f>
        <v/>
      </c>
      <c r="I46" s="25">
        <f>IF(Listas!$C$2,'Parámetros'!$B$8*'Parámetros'!$B$10,"")</f>
        <v/>
      </c>
      <c r="J46" s="25">
        <f>IF(Listas!$C$2,'Parámetros'!$B$8*'Parámetros'!$B$10,"")</f>
        <v/>
      </c>
      <c r="K46" s="25">
        <f>IF(Listas!$C$2,'Parámetros'!$B$8*'Parámetros'!$B$10,"")</f>
        <v/>
      </c>
      <c r="L46" s="25">
        <f>IF(Listas!$C$2,'Parámetros'!$B$8*'Parámetros'!$B$10,"")</f>
        <v/>
      </c>
      <c r="M46" s="25">
        <f>IF(Listas!$C$2,'Parámetros'!$B$8*'Parámetros'!$B$10,"")</f>
        <v/>
      </c>
    </row>
    <row r="47">
      <c r="A47" s="44" t="inlineStr">
        <is>
          <t>Complemento al mínimo</t>
        </is>
      </c>
      <c r="B47" s="25">
        <f>IF(Listas!$C$2,MAX(0,B46-B45),"")</f>
        <v/>
      </c>
      <c r="C47" s="25">
        <f>IF(Listas!$C$2,MAX(0,C46-C45),"")</f>
        <v/>
      </c>
      <c r="D47" s="25">
        <f>IF(Listas!$C$2,MAX(0,D46-D45),"")</f>
        <v/>
      </c>
      <c r="E47" s="25">
        <f>IF(Listas!$C$2,MAX(0,E46-E45),"")</f>
        <v/>
      </c>
      <c r="F47" s="25">
        <f>IF(Listas!$C$2,MAX(0,F46-F45),"")</f>
        <v/>
      </c>
      <c r="G47" s="25">
        <f>IF(Listas!$C$2,MAX(0,G46-G45),"")</f>
        <v/>
      </c>
      <c r="H47" s="25">
        <f>IF(Listas!$C$2,MAX(0,H46-H45),"")</f>
        <v/>
      </c>
      <c r="I47" s="25">
        <f>IF(Listas!$C$2,MAX(0,I46-I45),"")</f>
        <v/>
      </c>
      <c r="J47" s="25">
        <f>IF(Listas!$C$2,MAX(0,J46-J45),"")</f>
        <v/>
      </c>
      <c r="K47" s="25">
        <f>IF(Listas!$C$2,MAX(0,K46-K45),"")</f>
        <v/>
      </c>
      <c r="L47" s="25">
        <f>IF(Listas!$C$2,MAX(0,L46-L45),"")</f>
        <v/>
      </c>
      <c r="M47" s="25">
        <f>IF(Listas!$C$2,MAX(0,M46-M45),"")</f>
        <v/>
      </c>
    </row>
    <row r="48">
      <c r="A48" s="44" t="inlineStr">
        <is>
          <t>SALARIO BRUTO</t>
        </is>
      </c>
      <c r="B48" s="37">
        <f>IF(Listas!$C$2,B45+B47,"")</f>
        <v/>
      </c>
      <c r="C48" s="37">
        <f>IF(Listas!$C$2,C45+C47,"")</f>
        <v/>
      </c>
      <c r="D48" s="37">
        <f>IF(Listas!$C$2,D45+D47,"")</f>
        <v/>
      </c>
      <c r="E48" s="37">
        <f>IF(Listas!$C$2,E45+E47,"")</f>
        <v/>
      </c>
      <c r="F48" s="37">
        <f>IF(Listas!$C$2,F45+F47,"")</f>
        <v/>
      </c>
      <c r="G48" s="37">
        <f>IF(Listas!$C$2,G45+G47,"")</f>
        <v/>
      </c>
      <c r="H48" s="37">
        <f>IF(Listas!$C$2,H45+H47,"")</f>
        <v/>
      </c>
      <c r="I48" s="37">
        <f>IF(Listas!$C$2,I45+I47,"")</f>
        <v/>
      </c>
      <c r="J48" s="37">
        <f>IF(Listas!$C$2,J45+J47,"")</f>
        <v/>
      </c>
      <c r="K48" s="37">
        <f>IF(Listas!$C$2,K45+K47,"")</f>
        <v/>
      </c>
      <c r="L48" s="37">
        <f>IF(Listas!$C$2,L45+L47,"")</f>
        <v/>
      </c>
      <c r="M48" s="37">
        <f>IF(Listas!$C$2,M45+M47,"")</f>
        <v/>
      </c>
    </row>
    <row r="49">
      <c r="A49" s="44" t="inlineStr">
        <is>
          <t>Salario diario</t>
        </is>
      </c>
      <c r="B49" s="25">
        <f>IF(Listas!$C$2,B48/'Parámetros'!$B$10,"")</f>
        <v/>
      </c>
      <c r="C49" s="25">
        <f>IF(Listas!$C$2,C48/'Parámetros'!$B$10,"")</f>
        <v/>
      </c>
      <c r="D49" s="25">
        <f>IF(Listas!$C$2,D48/'Parámetros'!$B$10,"")</f>
        <v/>
      </c>
      <c r="E49" s="25">
        <f>IF(Listas!$C$2,E48/'Parámetros'!$B$10,"")</f>
        <v/>
      </c>
      <c r="F49" s="25">
        <f>IF(Listas!$C$2,F48/'Parámetros'!$B$10,"")</f>
        <v/>
      </c>
      <c r="G49" s="25">
        <f>IF(Listas!$C$2,G48/'Parámetros'!$B$10,"")</f>
        <v/>
      </c>
      <c r="H49" s="25">
        <f>IF(Listas!$C$2,H48/'Parámetros'!$B$10,"")</f>
        <v/>
      </c>
      <c r="I49" s="25">
        <f>IF(Listas!$C$2,I48/'Parámetros'!$B$10,"")</f>
        <v/>
      </c>
      <c r="J49" s="25">
        <f>IF(Listas!$C$2,J48/'Parámetros'!$B$10,"")</f>
        <v/>
      </c>
      <c r="K49" s="25">
        <f>IF(Listas!$C$2,K48/'Parámetros'!$B$10,"")</f>
        <v/>
      </c>
      <c r="L49" s="25">
        <f>IF(Listas!$C$2,L48/'Parámetros'!$B$10,"")</f>
        <v/>
      </c>
      <c r="M49" s="25">
        <f>IF(Listas!$C$2,M48/'Parámetros'!$B$10,"")</f>
        <v/>
      </c>
    </row>
    <row r="50">
      <c r="A50" s="44" t="inlineStr">
        <is>
          <t>Parte variable diaria</t>
        </is>
      </c>
      <c r="B50" s="25">
        <f>IF(Listas!$C$2,(B48-B43)/'Parámetros'!$B$10,"")</f>
        <v/>
      </c>
      <c r="C50" s="25">
        <f>IF(Listas!$C$2,(C48-C43)/'Parámetros'!$B$10,"")</f>
        <v/>
      </c>
      <c r="D50" s="25">
        <f>IF(Listas!$C$2,(D48-D43)/'Parámetros'!$B$10,"")</f>
        <v/>
      </c>
      <c r="E50" s="25">
        <f>IF(Listas!$C$2,(E48-E43)/'Parámetros'!$B$10,"")</f>
        <v/>
      </c>
      <c r="F50" s="25">
        <f>IF(Listas!$C$2,(F48-F43)/'Parámetros'!$B$10,"")</f>
        <v/>
      </c>
      <c r="G50" s="25">
        <f>IF(Listas!$C$2,(G48-G43)/'Parámetros'!$B$10,"")</f>
        <v/>
      </c>
      <c r="H50" s="25">
        <f>IF(Listas!$C$2,(H48-H43)/'Parámetros'!$B$10,"")</f>
        <v/>
      </c>
      <c r="I50" s="25">
        <f>IF(Listas!$C$2,(I48-I43)/'Parámetros'!$B$10,"")</f>
        <v/>
      </c>
      <c r="J50" s="25">
        <f>IF(Listas!$C$2,(J48-J43)/'Parámetros'!$B$10,"")</f>
        <v/>
      </c>
      <c r="K50" s="25">
        <f>IF(Listas!$C$2,(K48-K43)/'Parámetros'!$B$10,"")</f>
        <v/>
      </c>
      <c r="L50" s="25">
        <f>IF(Listas!$C$2,(L48-L43)/'Parámetros'!$B$10,"")</f>
        <v/>
      </c>
      <c r="M50" s="25">
        <f>IF(Listas!$C$2,(M48-M43)/'Parámetros'!$B$10,"")</f>
        <v/>
      </c>
    </row>
    <row r="51">
      <c r="A51" s="44" t="inlineStr">
        <is>
          <t>Aguinaldo (prorrateo mensual)</t>
        </is>
      </c>
      <c r="B51" s="25">
        <f>IF(Listas!$C$2,B49*'Parámetros'!$B$12/12,"")</f>
        <v/>
      </c>
      <c r="C51" s="25">
        <f>IF(Listas!$C$2,C49*'Parámetros'!$B$12/12,"")</f>
        <v/>
      </c>
      <c r="D51" s="25">
        <f>IF(Listas!$C$2,D49*'Parámetros'!$B$12/12,"")</f>
        <v/>
      </c>
      <c r="E51" s="25">
        <f>IF(Listas!$C$2,E49*'Parámetros'!$B$12/12,"")</f>
        <v/>
      </c>
      <c r="F51" s="25">
        <f>IF(Listas!$C$2,F49*'Parámetros'!$B$12/12,"")</f>
        <v/>
      </c>
      <c r="G51" s="25">
        <f>IF(Listas!$C$2,G49*'Parámetros'!$B$12/12,"")</f>
        <v/>
      </c>
      <c r="H51" s="25">
        <f>IF(Listas!$C$2,H49*'Parámetros'!$B$12/12,"")</f>
        <v/>
      </c>
      <c r="I51" s="25">
        <f>IF(Listas!$C$2,I49*'Parámetros'!$B$12/12,"")</f>
        <v/>
      </c>
      <c r="J51" s="25">
        <f>IF(Listas!$C$2,J49*'Parámetros'!$B$12/12,"")</f>
        <v/>
      </c>
      <c r="K51" s="25">
        <f>IF(Listas!$C$2,K49*'Parámetros'!$B$12/12,"")</f>
        <v/>
      </c>
      <c r="L51" s="25">
        <f>IF(Listas!$C$2,L49*'Parámetros'!$B$12/12,"")</f>
        <v/>
      </c>
      <c r="M51" s="25">
        <f>IF(Listas!$C$2,M49*'Parámetros'!$B$12/12,"")</f>
        <v/>
      </c>
    </row>
    <row r="52">
      <c r="A52" s="44" t="inlineStr">
        <is>
          <t>Vacaciones de la parte variable (prorrateo)</t>
        </is>
      </c>
      <c r="B52" s="25">
        <f>IF(Listas!$C$2,B50*'Parámetros'!$B$13/12,"")</f>
        <v/>
      </c>
      <c r="C52" s="25">
        <f>IF(Listas!$C$2,C50*'Parámetros'!$B$13/12,"")</f>
        <v/>
      </c>
      <c r="D52" s="25">
        <f>IF(Listas!$C$2,D50*'Parámetros'!$B$13/12,"")</f>
        <v/>
      </c>
      <c r="E52" s="25">
        <f>IF(Listas!$C$2,E50*'Parámetros'!$B$13/12,"")</f>
        <v/>
      </c>
      <c r="F52" s="25">
        <f>IF(Listas!$C$2,F50*'Parámetros'!$B$13/12,"")</f>
        <v/>
      </c>
      <c r="G52" s="25">
        <f>IF(Listas!$C$2,G50*'Parámetros'!$B$13/12,"")</f>
        <v/>
      </c>
      <c r="H52" s="25">
        <f>IF(Listas!$C$2,H50*'Parámetros'!$B$13/12,"")</f>
        <v/>
      </c>
      <c r="I52" s="25">
        <f>IF(Listas!$C$2,I50*'Parámetros'!$B$13/12,"")</f>
        <v/>
      </c>
      <c r="J52" s="25">
        <f>IF(Listas!$C$2,J50*'Parámetros'!$B$13/12,"")</f>
        <v/>
      </c>
      <c r="K52" s="25">
        <f>IF(Listas!$C$2,K50*'Parámetros'!$B$13/12,"")</f>
        <v/>
      </c>
      <c r="L52" s="25">
        <f>IF(Listas!$C$2,L50*'Parámetros'!$B$13/12,"")</f>
        <v/>
      </c>
      <c r="M52" s="25">
        <f>IF(Listas!$C$2,M50*'Parámetros'!$B$13/12,"")</f>
        <v/>
      </c>
    </row>
    <row r="53">
      <c r="A53" s="44" t="inlineStr">
        <is>
          <t>Prima vacacional (prorrateo)</t>
        </is>
      </c>
      <c r="B53" s="25">
        <f>IF(Listas!$C$2,B49*'Parámetros'!$B$13*'Parámetros'!$B$14/12,"")</f>
        <v/>
      </c>
      <c r="C53" s="25">
        <f>IF(Listas!$C$2,C49*'Parámetros'!$B$13*'Parámetros'!$B$14/12,"")</f>
        <v/>
      </c>
      <c r="D53" s="25">
        <f>IF(Listas!$C$2,D49*'Parámetros'!$B$13*'Parámetros'!$B$14/12,"")</f>
        <v/>
      </c>
      <c r="E53" s="25">
        <f>IF(Listas!$C$2,E49*'Parámetros'!$B$13*'Parámetros'!$B$14/12,"")</f>
        <v/>
      </c>
      <c r="F53" s="25">
        <f>IF(Listas!$C$2,F49*'Parámetros'!$B$13*'Parámetros'!$B$14/12,"")</f>
        <v/>
      </c>
      <c r="G53" s="25">
        <f>IF(Listas!$C$2,G49*'Parámetros'!$B$13*'Parámetros'!$B$14/12,"")</f>
        <v/>
      </c>
      <c r="H53" s="25">
        <f>IF(Listas!$C$2,H49*'Parámetros'!$B$13*'Parámetros'!$B$14/12,"")</f>
        <v/>
      </c>
      <c r="I53" s="25">
        <f>IF(Listas!$C$2,I49*'Parámetros'!$B$13*'Parámetros'!$B$14/12,"")</f>
        <v/>
      </c>
      <c r="J53" s="25">
        <f>IF(Listas!$C$2,J49*'Parámetros'!$B$13*'Parámetros'!$B$14/12,"")</f>
        <v/>
      </c>
      <c r="K53" s="25">
        <f>IF(Listas!$C$2,K49*'Parámetros'!$B$13*'Parámetros'!$B$14/12,"")</f>
        <v/>
      </c>
      <c r="L53" s="25">
        <f>IF(Listas!$C$2,L49*'Parámetros'!$B$13*'Parámetros'!$B$14/12,"")</f>
        <v/>
      </c>
      <c r="M53" s="25">
        <f>IF(Listas!$C$2,M49*'Parámetros'!$B$13*'Parámetros'!$B$14/12,"")</f>
        <v/>
      </c>
    </row>
    <row r="54">
      <c r="A54" s="44" t="inlineStr">
        <is>
          <t>Prima dominical</t>
        </is>
      </c>
      <c r="B54" s="25">
        <f>IF(Listas!$C$2,N('Mi técnica'!$D$22)*B49*'Parámetros'!$B$15,"")</f>
        <v/>
      </c>
      <c r="C54" s="25">
        <f>IF(Listas!$C$2,N('Mi técnica'!$D$22)*C49*'Parámetros'!$B$15,"")</f>
        <v/>
      </c>
      <c r="D54" s="25">
        <f>IF(Listas!$C$2,N('Mi técnica'!$D$22)*D49*'Parámetros'!$B$15,"")</f>
        <v/>
      </c>
      <c r="E54" s="25">
        <f>IF(Listas!$C$2,N('Mi técnica'!$D$22)*E49*'Parámetros'!$B$15,"")</f>
        <v/>
      </c>
      <c r="F54" s="25">
        <f>IF(Listas!$C$2,N('Mi técnica'!$D$22)*F49*'Parámetros'!$B$15,"")</f>
        <v/>
      </c>
      <c r="G54" s="25">
        <f>IF(Listas!$C$2,N('Mi técnica'!$D$22)*G49*'Parámetros'!$B$15,"")</f>
        <v/>
      </c>
      <c r="H54" s="25">
        <f>IF(Listas!$C$2,N('Mi técnica'!$D$22)*H49*'Parámetros'!$B$15,"")</f>
        <v/>
      </c>
      <c r="I54" s="25">
        <f>IF(Listas!$C$2,N('Mi técnica'!$D$22)*I49*'Parámetros'!$B$15,"")</f>
        <v/>
      </c>
      <c r="J54" s="25">
        <f>IF(Listas!$C$2,N('Mi técnica'!$D$22)*J49*'Parámetros'!$B$15,"")</f>
        <v/>
      </c>
      <c r="K54" s="25">
        <f>IF(Listas!$C$2,N('Mi técnica'!$D$22)*K49*'Parámetros'!$B$15,"")</f>
        <v/>
      </c>
      <c r="L54" s="25">
        <f>IF(Listas!$C$2,N('Mi técnica'!$D$22)*L49*'Parámetros'!$B$15,"")</f>
        <v/>
      </c>
      <c r="M54" s="25">
        <f>IF(Listas!$C$2,N('Mi técnica'!$D$22)*M49*'Parámetros'!$B$15,"")</f>
        <v/>
      </c>
    </row>
    <row r="55">
      <c r="A55" s="44" t="inlineStr">
        <is>
          <t>Prestaciones prorrateadas</t>
        </is>
      </c>
      <c r="B55" s="25">
        <f>IF(Listas!$C$2,SUM(B51:B54),"")</f>
        <v/>
      </c>
      <c r="C55" s="25">
        <f>IF(Listas!$C$2,SUM(C51:C54),"")</f>
        <v/>
      </c>
      <c r="D55" s="25">
        <f>IF(Listas!$C$2,SUM(D51:D54),"")</f>
        <v/>
      </c>
      <c r="E55" s="25">
        <f>IF(Listas!$C$2,SUM(E51:E54),"")</f>
        <v/>
      </c>
      <c r="F55" s="25">
        <f>IF(Listas!$C$2,SUM(F51:F54),"")</f>
        <v/>
      </c>
      <c r="G55" s="25">
        <f>IF(Listas!$C$2,SUM(G51:G54),"")</f>
        <v/>
      </c>
      <c r="H55" s="25">
        <f>IF(Listas!$C$2,SUM(H51:H54),"")</f>
        <v/>
      </c>
      <c r="I55" s="25">
        <f>IF(Listas!$C$2,SUM(I51:I54),"")</f>
        <v/>
      </c>
      <c r="J55" s="25">
        <f>IF(Listas!$C$2,SUM(J51:J54),"")</f>
        <v/>
      </c>
      <c r="K55" s="25">
        <f>IF(Listas!$C$2,SUM(K51:K54),"")</f>
        <v/>
      </c>
      <c r="L55" s="25">
        <f>IF(Listas!$C$2,SUM(L51:L54),"")</f>
        <v/>
      </c>
      <c r="M55" s="25">
        <f>IF(Listas!$C$2,SUM(M51:M54),"")</f>
        <v/>
      </c>
    </row>
    <row r="56">
      <c r="A56" s="44" t="inlineStr">
        <is>
          <t>Salario base de cotización diario</t>
        </is>
      </c>
      <c r="B56" s="25">
        <f>IF(Listas!$C$2,MIN(MAX(B49*(1+('Parámetros'!$B$12+'Parámetros'!$B$13*'Parámetros'!$B$14)/365)+B54/'Parámetros'!$B$10,'Parámetros'!$B$5),25*'Parámetros'!$B$9),"")</f>
        <v/>
      </c>
      <c r="C56" s="25">
        <f>IF(Listas!$C$2,MIN(MAX(C49*(1+('Parámetros'!$B$12+'Parámetros'!$B$13*'Parámetros'!$B$14)/365)+C54/'Parámetros'!$B$10,'Parámetros'!$B$5),25*'Parámetros'!$B$9),"")</f>
        <v/>
      </c>
      <c r="D56" s="25">
        <f>IF(Listas!$C$2,MIN(MAX(D49*(1+('Parámetros'!$B$12+'Parámetros'!$B$13*'Parámetros'!$B$14)/365)+D54/'Parámetros'!$B$10,'Parámetros'!$B$5),25*'Parámetros'!$B$9),"")</f>
        <v/>
      </c>
      <c r="E56" s="25">
        <f>IF(Listas!$C$2,MIN(MAX(E49*(1+('Parámetros'!$B$12+'Parámetros'!$B$13*'Parámetros'!$B$14)/365)+E54/'Parámetros'!$B$10,'Parámetros'!$B$5),25*'Parámetros'!$B$9),"")</f>
        <v/>
      </c>
      <c r="F56" s="25">
        <f>IF(Listas!$C$2,MIN(MAX(F49*(1+('Parámetros'!$B$12+'Parámetros'!$B$13*'Parámetros'!$B$14)/365)+F54/'Parámetros'!$B$10,'Parámetros'!$B$5),25*'Parámetros'!$B$9),"")</f>
        <v/>
      </c>
      <c r="G56" s="25">
        <f>IF(Listas!$C$2,MIN(MAX(G49*(1+('Parámetros'!$B$12+'Parámetros'!$B$13*'Parámetros'!$B$14)/365)+G54/'Parámetros'!$B$10,'Parámetros'!$B$5),25*'Parámetros'!$B$9),"")</f>
        <v/>
      </c>
      <c r="H56" s="25">
        <f>IF(Listas!$C$2,MIN(MAX(H49*(1+('Parámetros'!$B$12+'Parámetros'!$B$13*'Parámetros'!$B$14)/365)+H54/'Parámetros'!$B$10,'Parámetros'!$B$5),25*'Parámetros'!$B$9),"")</f>
        <v/>
      </c>
      <c r="I56" s="25">
        <f>IF(Listas!$C$2,MIN(MAX(I49*(1+('Parámetros'!$B$12+'Parámetros'!$B$13*'Parámetros'!$B$14)/365)+I54/'Parámetros'!$B$10,'Parámetros'!$B$5),25*'Parámetros'!$B$9),"")</f>
        <v/>
      </c>
      <c r="J56" s="25">
        <f>IF(Listas!$C$2,MIN(MAX(J49*(1+('Parámetros'!$B$12+'Parámetros'!$B$13*'Parámetros'!$B$14)/365)+J54/'Parámetros'!$B$10,'Parámetros'!$B$5),25*'Parámetros'!$B$9),"")</f>
        <v/>
      </c>
      <c r="K56" s="25">
        <f>IF(Listas!$C$2,MIN(MAX(K49*(1+('Parámetros'!$B$12+'Parámetros'!$B$13*'Parámetros'!$B$14)/365)+K54/'Parámetros'!$B$10,'Parámetros'!$B$5),25*'Parámetros'!$B$9),"")</f>
        <v/>
      </c>
      <c r="L56" s="25">
        <f>IF(Listas!$C$2,MIN(MAX(L49*(1+('Parámetros'!$B$12+'Parámetros'!$B$13*'Parámetros'!$B$14)/365)+L54/'Parámetros'!$B$10,'Parámetros'!$B$5),25*'Parámetros'!$B$9),"")</f>
        <v/>
      </c>
      <c r="M56" s="25">
        <f>IF(Listas!$C$2,MIN(MAX(M49*(1+('Parámetros'!$B$12+'Parámetros'!$B$13*'Parámetros'!$B$14)/365)+M54/'Parámetros'!$B$10,'Parámetros'!$B$5),25*'Parámetros'!$B$9),"")</f>
        <v/>
      </c>
    </row>
    <row r="57">
      <c r="A57" s="44" t="inlineStr">
        <is>
          <t>Cesantía y vejez patronal (%)</t>
        </is>
      </c>
      <c r="B57" s="34">
        <f>IF(Listas!$C$2,IF(B56&lt;='Parámetros'!$B$5,'Parámetros'!$B$35,IF(B56/'Parámetros'!$B$9&lt;='Parámetros'!$C$36,'Parámetros'!$B$36,IF(B56/'Parámetros'!$B$9&lt;='Parámetros'!$C$37,'Parámetros'!$B$37,IF(B56/'Parámetros'!$B$9&lt;='Parámetros'!$C$38,'Parámetros'!$B$38,IF(B56/'Parámetros'!$B$9&lt;='Parámetros'!$C$39,'Parámetros'!$B$39,IF(B56/'Parámetros'!$B$9&lt;='Parámetros'!$C$40,'Parámetros'!$B$40,IF(B56/'Parámetros'!$B$9&lt;='Parámetros'!$C$41,'Parámetros'!$B$41,'Parámetros'!$B$42))))))),"")</f>
        <v/>
      </c>
      <c r="C57" s="34">
        <f>IF(Listas!$C$2,IF(C56&lt;='Parámetros'!$B$5,'Parámetros'!$B$35,IF(C56/'Parámetros'!$B$9&lt;='Parámetros'!$C$36,'Parámetros'!$B$36,IF(C56/'Parámetros'!$B$9&lt;='Parámetros'!$C$37,'Parámetros'!$B$37,IF(C56/'Parámetros'!$B$9&lt;='Parámetros'!$C$38,'Parámetros'!$B$38,IF(C56/'Parámetros'!$B$9&lt;='Parámetros'!$C$39,'Parámetros'!$B$39,IF(C56/'Parámetros'!$B$9&lt;='Parámetros'!$C$40,'Parámetros'!$B$40,IF(C56/'Parámetros'!$B$9&lt;='Parámetros'!$C$41,'Parámetros'!$B$41,'Parámetros'!$B$42))))))),"")</f>
        <v/>
      </c>
      <c r="D57" s="34">
        <f>IF(Listas!$C$2,IF(D56&lt;='Parámetros'!$B$5,'Parámetros'!$B$35,IF(D56/'Parámetros'!$B$9&lt;='Parámetros'!$C$36,'Parámetros'!$B$36,IF(D56/'Parámetros'!$B$9&lt;='Parámetros'!$C$37,'Parámetros'!$B$37,IF(D56/'Parámetros'!$B$9&lt;='Parámetros'!$C$38,'Parámetros'!$B$38,IF(D56/'Parámetros'!$B$9&lt;='Parámetros'!$C$39,'Parámetros'!$B$39,IF(D56/'Parámetros'!$B$9&lt;='Parámetros'!$C$40,'Parámetros'!$B$40,IF(D56/'Parámetros'!$B$9&lt;='Parámetros'!$C$41,'Parámetros'!$B$41,'Parámetros'!$B$42))))))),"")</f>
        <v/>
      </c>
      <c r="E57" s="34">
        <f>IF(Listas!$C$2,IF(E56&lt;='Parámetros'!$B$5,'Parámetros'!$B$35,IF(E56/'Parámetros'!$B$9&lt;='Parámetros'!$C$36,'Parámetros'!$B$36,IF(E56/'Parámetros'!$B$9&lt;='Parámetros'!$C$37,'Parámetros'!$B$37,IF(E56/'Parámetros'!$B$9&lt;='Parámetros'!$C$38,'Parámetros'!$B$38,IF(E56/'Parámetros'!$B$9&lt;='Parámetros'!$C$39,'Parámetros'!$B$39,IF(E56/'Parámetros'!$B$9&lt;='Parámetros'!$C$40,'Parámetros'!$B$40,IF(E56/'Parámetros'!$B$9&lt;='Parámetros'!$C$41,'Parámetros'!$B$41,'Parámetros'!$B$42))))))),"")</f>
        <v/>
      </c>
      <c r="F57" s="34">
        <f>IF(Listas!$C$2,IF(F56&lt;='Parámetros'!$B$5,'Parámetros'!$B$35,IF(F56/'Parámetros'!$B$9&lt;='Parámetros'!$C$36,'Parámetros'!$B$36,IF(F56/'Parámetros'!$B$9&lt;='Parámetros'!$C$37,'Parámetros'!$B$37,IF(F56/'Parámetros'!$B$9&lt;='Parámetros'!$C$38,'Parámetros'!$B$38,IF(F56/'Parámetros'!$B$9&lt;='Parámetros'!$C$39,'Parámetros'!$B$39,IF(F56/'Parámetros'!$B$9&lt;='Parámetros'!$C$40,'Parámetros'!$B$40,IF(F56/'Parámetros'!$B$9&lt;='Parámetros'!$C$41,'Parámetros'!$B$41,'Parámetros'!$B$42))))))),"")</f>
        <v/>
      </c>
      <c r="G57" s="34">
        <f>IF(Listas!$C$2,IF(G56&lt;='Parámetros'!$B$5,'Parámetros'!$B$35,IF(G56/'Parámetros'!$B$9&lt;='Parámetros'!$C$36,'Parámetros'!$B$36,IF(G56/'Parámetros'!$B$9&lt;='Parámetros'!$C$37,'Parámetros'!$B$37,IF(G56/'Parámetros'!$B$9&lt;='Parámetros'!$C$38,'Parámetros'!$B$38,IF(G56/'Parámetros'!$B$9&lt;='Parámetros'!$C$39,'Parámetros'!$B$39,IF(G56/'Parámetros'!$B$9&lt;='Parámetros'!$C$40,'Parámetros'!$B$40,IF(G56/'Parámetros'!$B$9&lt;='Parámetros'!$C$41,'Parámetros'!$B$41,'Parámetros'!$B$42))))))),"")</f>
        <v/>
      </c>
      <c r="H57" s="34">
        <f>IF(Listas!$C$2,IF(H56&lt;='Parámetros'!$B$5,'Parámetros'!$B$35,IF(H56/'Parámetros'!$B$9&lt;='Parámetros'!$C$36,'Parámetros'!$B$36,IF(H56/'Parámetros'!$B$9&lt;='Parámetros'!$C$37,'Parámetros'!$B$37,IF(H56/'Parámetros'!$B$9&lt;='Parámetros'!$C$38,'Parámetros'!$B$38,IF(H56/'Parámetros'!$B$9&lt;='Parámetros'!$C$39,'Parámetros'!$B$39,IF(H56/'Parámetros'!$B$9&lt;='Parámetros'!$C$40,'Parámetros'!$B$40,IF(H56/'Parámetros'!$B$9&lt;='Parámetros'!$C$41,'Parámetros'!$B$41,'Parámetros'!$B$42))))))),"")</f>
        <v/>
      </c>
      <c r="I57" s="34">
        <f>IF(Listas!$C$2,IF(I56&lt;='Parámetros'!$B$5,'Parámetros'!$B$35,IF(I56/'Parámetros'!$B$9&lt;='Parámetros'!$C$36,'Parámetros'!$B$36,IF(I56/'Parámetros'!$B$9&lt;='Parámetros'!$C$37,'Parámetros'!$B$37,IF(I56/'Parámetros'!$B$9&lt;='Parámetros'!$C$38,'Parámetros'!$B$38,IF(I56/'Parámetros'!$B$9&lt;='Parámetros'!$C$39,'Parámetros'!$B$39,IF(I56/'Parámetros'!$B$9&lt;='Parámetros'!$C$40,'Parámetros'!$B$40,IF(I56/'Parámetros'!$B$9&lt;='Parámetros'!$C$41,'Parámetros'!$B$41,'Parámetros'!$B$42))))))),"")</f>
        <v/>
      </c>
      <c r="J57" s="34">
        <f>IF(Listas!$C$2,IF(J56&lt;='Parámetros'!$B$5,'Parámetros'!$B$35,IF(J56/'Parámetros'!$B$9&lt;='Parámetros'!$C$36,'Parámetros'!$B$36,IF(J56/'Parámetros'!$B$9&lt;='Parámetros'!$C$37,'Parámetros'!$B$37,IF(J56/'Parámetros'!$B$9&lt;='Parámetros'!$C$38,'Parámetros'!$B$38,IF(J56/'Parámetros'!$B$9&lt;='Parámetros'!$C$39,'Parámetros'!$B$39,IF(J56/'Parámetros'!$B$9&lt;='Parámetros'!$C$40,'Parámetros'!$B$40,IF(J56/'Parámetros'!$B$9&lt;='Parámetros'!$C$41,'Parámetros'!$B$41,'Parámetros'!$B$42))))))),"")</f>
        <v/>
      </c>
      <c r="K57" s="34">
        <f>IF(Listas!$C$2,IF(K56&lt;='Parámetros'!$B$5,'Parámetros'!$B$35,IF(K56/'Parámetros'!$B$9&lt;='Parámetros'!$C$36,'Parámetros'!$B$36,IF(K56/'Parámetros'!$B$9&lt;='Parámetros'!$C$37,'Parámetros'!$B$37,IF(K56/'Parámetros'!$B$9&lt;='Parámetros'!$C$38,'Parámetros'!$B$38,IF(K56/'Parámetros'!$B$9&lt;='Parámetros'!$C$39,'Parámetros'!$B$39,IF(K56/'Parámetros'!$B$9&lt;='Parámetros'!$C$40,'Parámetros'!$B$40,IF(K56/'Parámetros'!$B$9&lt;='Parámetros'!$C$41,'Parámetros'!$B$41,'Parámetros'!$B$42))))))),"")</f>
        <v/>
      </c>
      <c r="L57" s="34">
        <f>IF(Listas!$C$2,IF(L56&lt;='Parámetros'!$B$5,'Parámetros'!$B$35,IF(L56/'Parámetros'!$B$9&lt;='Parámetros'!$C$36,'Parámetros'!$B$36,IF(L56/'Parámetros'!$B$9&lt;='Parámetros'!$C$37,'Parámetros'!$B$37,IF(L56/'Parámetros'!$B$9&lt;='Parámetros'!$C$38,'Parámetros'!$B$38,IF(L56/'Parámetros'!$B$9&lt;='Parámetros'!$C$39,'Parámetros'!$B$39,IF(L56/'Parámetros'!$B$9&lt;='Parámetros'!$C$40,'Parámetros'!$B$40,IF(L56/'Parámetros'!$B$9&lt;='Parámetros'!$C$41,'Parámetros'!$B$41,'Parámetros'!$B$42))))))),"")</f>
        <v/>
      </c>
      <c r="M57" s="34">
        <f>IF(Listas!$C$2,IF(M56&lt;='Parámetros'!$B$5,'Parámetros'!$B$35,IF(M56/'Parámetros'!$B$9&lt;='Parámetros'!$C$36,'Parámetros'!$B$36,IF(M56/'Parámetros'!$B$9&lt;='Parámetros'!$C$37,'Parámetros'!$B$37,IF(M56/'Parámetros'!$B$9&lt;='Parámetros'!$C$38,'Parámetros'!$B$38,IF(M56/'Parámetros'!$B$9&lt;='Parámetros'!$C$39,'Parámetros'!$B$39,IF(M56/'Parámetros'!$B$9&lt;='Parámetros'!$C$40,'Parámetros'!$B$40,IF(M56/'Parámetros'!$B$9&lt;='Parámetros'!$C$41,'Parámetros'!$B$41,'Parámetros'!$B$42))))))),"")</f>
        <v/>
      </c>
    </row>
    <row r="58">
      <c r="A58" s="44" t="inlineStr">
        <is>
          <t>IMSS patronal</t>
        </is>
      </c>
      <c r="B58" s="25">
        <f>IF(Listas!$C$2,'Parámetros'!$B$10*('Parámetros'!$B$17*'Parámetros'!$B$9+'Parámetros'!$B$18*MAX(0,B56-3*'Parámetros'!$B$9)+('Parámetros'!$B$19+'Parámetros'!$B$20+'Parámetros'!$B$21+'Parámetros'!$B$22+'Parámetros'!$B$23+B57+'Parámetros'!$B$24)*B56),"")</f>
        <v/>
      </c>
      <c r="C58" s="25">
        <f>IF(Listas!$C$2,'Parámetros'!$B$10*('Parámetros'!$B$17*'Parámetros'!$B$9+'Parámetros'!$B$18*MAX(0,C56-3*'Parámetros'!$B$9)+('Parámetros'!$B$19+'Parámetros'!$B$20+'Parámetros'!$B$21+'Parámetros'!$B$22+'Parámetros'!$B$23+C57+'Parámetros'!$B$24)*C56),"")</f>
        <v/>
      </c>
      <c r="D58" s="25">
        <f>IF(Listas!$C$2,'Parámetros'!$B$10*('Parámetros'!$B$17*'Parámetros'!$B$9+'Parámetros'!$B$18*MAX(0,D56-3*'Parámetros'!$B$9)+('Parámetros'!$B$19+'Parámetros'!$B$20+'Parámetros'!$B$21+'Parámetros'!$B$22+'Parámetros'!$B$23+D57+'Parámetros'!$B$24)*D56),"")</f>
        <v/>
      </c>
      <c r="E58" s="25">
        <f>IF(Listas!$C$2,'Parámetros'!$B$10*('Parámetros'!$B$17*'Parámetros'!$B$9+'Parámetros'!$B$18*MAX(0,E56-3*'Parámetros'!$B$9)+('Parámetros'!$B$19+'Parámetros'!$B$20+'Parámetros'!$B$21+'Parámetros'!$B$22+'Parámetros'!$B$23+E57+'Parámetros'!$B$24)*E56),"")</f>
        <v/>
      </c>
      <c r="F58" s="25">
        <f>IF(Listas!$C$2,'Parámetros'!$B$10*('Parámetros'!$B$17*'Parámetros'!$B$9+'Parámetros'!$B$18*MAX(0,F56-3*'Parámetros'!$B$9)+('Parámetros'!$B$19+'Parámetros'!$B$20+'Parámetros'!$B$21+'Parámetros'!$B$22+'Parámetros'!$B$23+F57+'Parámetros'!$B$24)*F56),"")</f>
        <v/>
      </c>
      <c r="G58" s="25">
        <f>IF(Listas!$C$2,'Parámetros'!$B$10*('Parámetros'!$B$17*'Parámetros'!$B$9+'Parámetros'!$B$18*MAX(0,G56-3*'Parámetros'!$B$9)+('Parámetros'!$B$19+'Parámetros'!$B$20+'Parámetros'!$B$21+'Parámetros'!$B$22+'Parámetros'!$B$23+G57+'Parámetros'!$B$24)*G56),"")</f>
        <v/>
      </c>
      <c r="H58" s="25">
        <f>IF(Listas!$C$2,'Parámetros'!$B$10*('Parámetros'!$B$17*'Parámetros'!$B$9+'Parámetros'!$B$18*MAX(0,H56-3*'Parámetros'!$B$9)+('Parámetros'!$B$19+'Parámetros'!$B$20+'Parámetros'!$B$21+'Parámetros'!$B$22+'Parámetros'!$B$23+H57+'Parámetros'!$B$24)*H56),"")</f>
        <v/>
      </c>
      <c r="I58" s="25">
        <f>IF(Listas!$C$2,'Parámetros'!$B$10*('Parámetros'!$B$17*'Parámetros'!$B$9+'Parámetros'!$B$18*MAX(0,I56-3*'Parámetros'!$B$9)+('Parámetros'!$B$19+'Parámetros'!$B$20+'Parámetros'!$B$21+'Parámetros'!$B$22+'Parámetros'!$B$23+I57+'Parámetros'!$B$24)*I56),"")</f>
        <v/>
      </c>
      <c r="J58" s="25">
        <f>IF(Listas!$C$2,'Parámetros'!$B$10*('Parámetros'!$B$17*'Parámetros'!$B$9+'Parámetros'!$B$18*MAX(0,J56-3*'Parámetros'!$B$9)+('Parámetros'!$B$19+'Parámetros'!$B$20+'Parámetros'!$B$21+'Parámetros'!$B$22+'Parámetros'!$B$23+J57+'Parámetros'!$B$24)*J56),"")</f>
        <v/>
      </c>
      <c r="K58" s="25">
        <f>IF(Listas!$C$2,'Parámetros'!$B$10*('Parámetros'!$B$17*'Parámetros'!$B$9+'Parámetros'!$B$18*MAX(0,K56-3*'Parámetros'!$B$9)+('Parámetros'!$B$19+'Parámetros'!$B$20+'Parámetros'!$B$21+'Parámetros'!$B$22+'Parámetros'!$B$23+K57+'Parámetros'!$B$24)*K56),"")</f>
        <v/>
      </c>
      <c r="L58" s="25">
        <f>IF(Listas!$C$2,'Parámetros'!$B$10*('Parámetros'!$B$17*'Parámetros'!$B$9+'Parámetros'!$B$18*MAX(0,L56-3*'Parámetros'!$B$9)+('Parámetros'!$B$19+'Parámetros'!$B$20+'Parámetros'!$B$21+'Parámetros'!$B$22+'Parámetros'!$B$23+L57+'Parámetros'!$B$24)*L56),"")</f>
        <v/>
      </c>
      <c r="M58" s="25">
        <f>IF(Listas!$C$2,'Parámetros'!$B$10*('Parámetros'!$B$17*'Parámetros'!$B$9+'Parámetros'!$B$18*MAX(0,M56-3*'Parámetros'!$B$9)+('Parámetros'!$B$19+'Parámetros'!$B$20+'Parámetros'!$B$21+'Parámetros'!$B$22+'Parámetros'!$B$23+M57+'Parámetros'!$B$24)*M56),"")</f>
        <v/>
      </c>
    </row>
    <row r="59">
      <c r="A59" s="44" t="inlineStr">
        <is>
          <t>Cuotas obreras IMSS</t>
        </is>
      </c>
      <c r="B59" s="25">
        <f>IF(Listas!$C$2,'Parámetros'!$B$10*('Parámetros'!$B$28*MAX(0,B56-3*'Parámetros'!$B$9)+('Parámetros'!$B$29+'Parámetros'!$B$30+'Parámetros'!$B$31+'Parámetros'!$B$32)*B56),"")</f>
        <v/>
      </c>
      <c r="C59" s="25">
        <f>IF(Listas!$C$2,'Parámetros'!$B$10*('Parámetros'!$B$28*MAX(0,C56-3*'Parámetros'!$B$9)+('Parámetros'!$B$29+'Parámetros'!$B$30+'Parámetros'!$B$31+'Parámetros'!$B$32)*C56),"")</f>
        <v/>
      </c>
      <c r="D59" s="25">
        <f>IF(Listas!$C$2,'Parámetros'!$B$10*('Parámetros'!$B$28*MAX(0,D56-3*'Parámetros'!$B$9)+('Parámetros'!$B$29+'Parámetros'!$B$30+'Parámetros'!$B$31+'Parámetros'!$B$32)*D56),"")</f>
        <v/>
      </c>
      <c r="E59" s="25">
        <f>IF(Listas!$C$2,'Parámetros'!$B$10*('Parámetros'!$B$28*MAX(0,E56-3*'Parámetros'!$B$9)+('Parámetros'!$B$29+'Parámetros'!$B$30+'Parámetros'!$B$31+'Parámetros'!$B$32)*E56),"")</f>
        <v/>
      </c>
      <c r="F59" s="25">
        <f>IF(Listas!$C$2,'Parámetros'!$B$10*('Parámetros'!$B$28*MAX(0,F56-3*'Parámetros'!$B$9)+('Parámetros'!$B$29+'Parámetros'!$B$30+'Parámetros'!$B$31+'Parámetros'!$B$32)*F56),"")</f>
        <v/>
      </c>
      <c r="G59" s="25">
        <f>IF(Listas!$C$2,'Parámetros'!$B$10*('Parámetros'!$B$28*MAX(0,G56-3*'Parámetros'!$B$9)+('Parámetros'!$B$29+'Parámetros'!$B$30+'Parámetros'!$B$31+'Parámetros'!$B$32)*G56),"")</f>
        <v/>
      </c>
      <c r="H59" s="25">
        <f>IF(Listas!$C$2,'Parámetros'!$B$10*('Parámetros'!$B$28*MAX(0,H56-3*'Parámetros'!$B$9)+('Parámetros'!$B$29+'Parámetros'!$B$30+'Parámetros'!$B$31+'Parámetros'!$B$32)*H56),"")</f>
        <v/>
      </c>
      <c r="I59" s="25">
        <f>IF(Listas!$C$2,'Parámetros'!$B$10*('Parámetros'!$B$28*MAX(0,I56-3*'Parámetros'!$B$9)+('Parámetros'!$B$29+'Parámetros'!$B$30+'Parámetros'!$B$31+'Parámetros'!$B$32)*I56),"")</f>
        <v/>
      </c>
      <c r="J59" s="25">
        <f>IF(Listas!$C$2,'Parámetros'!$B$10*('Parámetros'!$B$28*MAX(0,J56-3*'Parámetros'!$B$9)+('Parámetros'!$B$29+'Parámetros'!$B$30+'Parámetros'!$B$31+'Parámetros'!$B$32)*J56),"")</f>
        <v/>
      </c>
      <c r="K59" s="25">
        <f>IF(Listas!$C$2,'Parámetros'!$B$10*('Parámetros'!$B$28*MAX(0,K56-3*'Parámetros'!$B$9)+('Parámetros'!$B$29+'Parámetros'!$B$30+'Parámetros'!$B$31+'Parámetros'!$B$32)*K56),"")</f>
        <v/>
      </c>
      <c r="L59" s="25">
        <f>IF(Listas!$C$2,'Parámetros'!$B$10*('Parámetros'!$B$28*MAX(0,L56-3*'Parámetros'!$B$9)+('Parámetros'!$B$29+'Parámetros'!$B$30+'Parámetros'!$B$31+'Parámetros'!$B$32)*L56),"")</f>
        <v/>
      </c>
      <c r="M59" s="25">
        <f>IF(Listas!$C$2,'Parámetros'!$B$10*('Parámetros'!$B$28*MAX(0,M56-3*'Parámetros'!$B$9)+('Parámetros'!$B$29+'Parámetros'!$B$30+'Parámetros'!$B$31+'Parámetros'!$B$32)*M56),"")</f>
        <v/>
      </c>
    </row>
    <row r="60">
      <c r="A60" s="44" t="inlineStr">
        <is>
          <t>¿El salón paga la cuota obrera? (LSS art. 36)</t>
        </is>
      </c>
      <c r="B60" s="35">
        <f>IF(Listas!$C$2,IF(ABS(B48-B46)&lt;0.005,"Sí","No"),"")</f>
        <v/>
      </c>
      <c r="C60" s="35">
        <f>IF(Listas!$C$2,IF(ABS(C48-C46)&lt;0.005,"Sí","No"),"")</f>
        <v/>
      </c>
      <c r="D60" s="35">
        <f>IF(Listas!$C$2,IF(ABS(D48-D46)&lt;0.005,"Sí","No"),"")</f>
        <v/>
      </c>
      <c r="E60" s="35">
        <f>IF(Listas!$C$2,IF(ABS(E48-E46)&lt;0.005,"Sí","No"),"")</f>
        <v/>
      </c>
      <c r="F60" s="35">
        <f>IF(Listas!$C$2,IF(ABS(F48-F46)&lt;0.005,"Sí","No"),"")</f>
        <v/>
      </c>
      <c r="G60" s="35">
        <f>IF(Listas!$C$2,IF(ABS(G48-G46)&lt;0.005,"Sí","No"),"")</f>
        <v/>
      </c>
      <c r="H60" s="35">
        <f>IF(Listas!$C$2,IF(ABS(H48-H46)&lt;0.005,"Sí","No"),"")</f>
        <v/>
      </c>
      <c r="I60" s="35">
        <f>IF(Listas!$C$2,IF(ABS(I48-I46)&lt;0.005,"Sí","No"),"")</f>
        <v/>
      </c>
      <c r="J60" s="35">
        <f>IF(Listas!$C$2,IF(ABS(J48-J46)&lt;0.005,"Sí","No"),"")</f>
        <v/>
      </c>
      <c r="K60" s="35">
        <f>IF(Listas!$C$2,IF(ABS(K48-K46)&lt;0.005,"Sí","No"),"")</f>
        <v/>
      </c>
      <c r="L60" s="35">
        <f>IF(Listas!$C$2,IF(ABS(L48-L46)&lt;0.005,"Sí","No"),"")</f>
        <v/>
      </c>
      <c r="M60" s="35">
        <f>IF(Listas!$C$2,IF(ABS(M48-M46)&lt;0.005,"Sí","No"),"")</f>
        <v/>
      </c>
    </row>
    <row r="61">
      <c r="A61" s="44" t="inlineStr">
        <is>
          <t>Cuotas obreras a cargo del salón</t>
        </is>
      </c>
      <c r="B61" s="25">
        <f>IF(Listas!$C$2,IF(B60="Sí",B59,0),"")</f>
        <v/>
      </c>
      <c r="C61" s="25">
        <f>IF(Listas!$C$2,IF(C60="Sí",C59,0),"")</f>
        <v/>
      </c>
      <c r="D61" s="25">
        <f>IF(Listas!$C$2,IF(D60="Sí",D59,0),"")</f>
        <v/>
      </c>
      <c r="E61" s="25">
        <f>IF(Listas!$C$2,IF(E60="Sí",E59,0),"")</f>
        <v/>
      </c>
      <c r="F61" s="25">
        <f>IF(Listas!$C$2,IF(F60="Sí",F59,0),"")</f>
        <v/>
      </c>
      <c r="G61" s="25">
        <f>IF(Listas!$C$2,IF(G60="Sí",G59,0),"")</f>
        <v/>
      </c>
      <c r="H61" s="25">
        <f>IF(Listas!$C$2,IF(H60="Sí",H59,0),"")</f>
        <v/>
      </c>
      <c r="I61" s="25">
        <f>IF(Listas!$C$2,IF(I60="Sí",I59,0),"")</f>
        <v/>
      </c>
      <c r="J61" s="25">
        <f>IF(Listas!$C$2,IF(J60="Sí",J59,0),"")</f>
        <v/>
      </c>
      <c r="K61" s="25">
        <f>IF(Listas!$C$2,IF(K60="Sí",K59,0),"")</f>
        <v/>
      </c>
      <c r="L61" s="25">
        <f>IF(Listas!$C$2,IF(L60="Sí",L59,0),"")</f>
        <v/>
      </c>
      <c r="M61" s="25">
        <f>IF(Listas!$C$2,IF(M60="Sí",M59,0),"")</f>
        <v/>
      </c>
    </row>
    <row r="62">
      <c r="A62" s="44" t="inlineStr">
        <is>
          <t>Cuotas obreras retenidas a la trabajadora</t>
        </is>
      </c>
      <c r="B62" s="25">
        <f>IF(Listas!$C$2,IF(B60="Sí",0,B59),"")</f>
        <v/>
      </c>
      <c r="C62" s="25">
        <f>IF(Listas!$C$2,IF(C60="Sí",0,C59),"")</f>
        <v/>
      </c>
      <c r="D62" s="25">
        <f>IF(Listas!$C$2,IF(D60="Sí",0,D59),"")</f>
        <v/>
      </c>
      <c r="E62" s="25">
        <f>IF(Listas!$C$2,IF(E60="Sí",0,E59),"")</f>
        <v/>
      </c>
      <c r="F62" s="25">
        <f>IF(Listas!$C$2,IF(F60="Sí",0,F59),"")</f>
        <v/>
      </c>
      <c r="G62" s="25">
        <f>IF(Listas!$C$2,IF(G60="Sí",0,G59),"")</f>
        <v/>
      </c>
      <c r="H62" s="25">
        <f>IF(Listas!$C$2,IF(H60="Sí",0,H59),"")</f>
        <v/>
      </c>
      <c r="I62" s="25">
        <f>IF(Listas!$C$2,IF(I60="Sí",0,I59),"")</f>
        <v/>
      </c>
      <c r="J62" s="25">
        <f>IF(Listas!$C$2,IF(J60="Sí",0,J59),"")</f>
        <v/>
      </c>
      <c r="K62" s="25">
        <f>IF(Listas!$C$2,IF(K60="Sí",0,K59),"")</f>
        <v/>
      </c>
      <c r="L62" s="25">
        <f>IF(Listas!$C$2,IF(L60="Sí",0,L59),"")</f>
        <v/>
      </c>
      <c r="M62" s="25">
        <f>IF(Listas!$C$2,IF(M60="Sí",0,M59),"")</f>
        <v/>
      </c>
    </row>
    <row r="63">
      <c r="A63" s="44" t="inlineStr">
        <is>
          <t>Infonavit</t>
        </is>
      </c>
      <c r="B63" s="25">
        <f>IF(Listas!$C$2,'Parámetros'!$B$10*'Parámetros'!$B$25*B56,"")</f>
        <v/>
      </c>
      <c r="C63" s="25">
        <f>IF(Listas!$C$2,'Parámetros'!$B$10*'Parámetros'!$B$25*C56,"")</f>
        <v/>
      </c>
      <c r="D63" s="25">
        <f>IF(Listas!$C$2,'Parámetros'!$B$10*'Parámetros'!$B$25*D56,"")</f>
        <v/>
      </c>
      <c r="E63" s="25">
        <f>IF(Listas!$C$2,'Parámetros'!$B$10*'Parámetros'!$B$25*E56,"")</f>
        <v/>
      </c>
      <c r="F63" s="25">
        <f>IF(Listas!$C$2,'Parámetros'!$B$10*'Parámetros'!$B$25*F56,"")</f>
        <v/>
      </c>
      <c r="G63" s="25">
        <f>IF(Listas!$C$2,'Parámetros'!$B$10*'Parámetros'!$B$25*G56,"")</f>
        <v/>
      </c>
      <c r="H63" s="25">
        <f>IF(Listas!$C$2,'Parámetros'!$B$10*'Parámetros'!$B$25*H56,"")</f>
        <v/>
      </c>
      <c r="I63" s="25">
        <f>IF(Listas!$C$2,'Parámetros'!$B$10*'Parámetros'!$B$25*I56,"")</f>
        <v/>
      </c>
      <c r="J63" s="25">
        <f>IF(Listas!$C$2,'Parámetros'!$B$10*'Parámetros'!$B$25*J56,"")</f>
        <v/>
      </c>
      <c r="K63" s="25">
        <f>IF(Listas!$C$2,'Parámetros'!$B$10*'Parámetros'!$B$25*K56,"")</f>
        <v/>
      </c>
      <c r="L63" s="25">
        <f>IF(Listas!$C$2,'Parámetros'!$B$10*'Parámetros'!$B$25*L56,"")</f>
        <v/>
      </c>
      <c r="M63" s="25">
        <f>IF(Listas!$C$2,'Parámetros'!$B$10*'Parámetros'!$B$25*M56,"")</f>
        <v/>
      </c>
    </row>
    <row r="64">
      <c r="A64" s="44" t="inlineStr">
        <is>
          <t>Impuesto sobre nómina</t>
        </is>
      </c>
      <c r="B64" s="25">
        <f>IF(Listas!$C$2,'Parámetros'!$B$26*(B48+B55),"")</f>
        <v/>
      </c>
      <c r="C64" s="25">
        <f>IF(Listas!$C$2,'Parámetros'!$B$26*(C48+C55),"")</f>
        <v/>
      </c>
      <c r="D64" s="25">
        <f>IF(Listas!$C$2,'Parámetros'!$B$26*(D48+D55),"")</f>
        <v/>
      </c>
      <c r="E64" s="25">
        <f>IF(Listas!$C$2,'Parámetros'!$B$26*(E48+E55),"")</f>
        <v/>
      </c>
      <c r="F64" s="25">
        <f>IF(Listas!$C$2,'Parámetros'!$B$26*(F48+F55),"")</f>
        <v/>
      </c>
      <c r="G64" s="25">
        <f>IF(Listas!$C$2,'Parámetros'!$B$26*(G48+G55),"")</f>
        <v/>
      </c>
      <c r="H64" s="25">
        <f>IF(Listas!$C$2,'Parámetros'!$B$26*(H48+H55),"")</f>
        <v/>
      </c>
      <c r="I64" s="25">
        <f>IF(Listas!$C$2,'Parámetros'!$B$26*(I48+I55),"")</f>
        <v/>
      </c>
      <c r="J64" s="25">
        <f>IF(Listas!$C$2,'Parámetros'!$B$26*(J48+J55),"")</f>
        <v/>
      </c>
      <c r="K64" s="25">
        <f>IF(Listas!$C$2,'Parámetros'!$B$26*(K48+K55),"")</f>
        <v/>
      </c>
      <c r="L64" s="25">
        <f>IF(Listas!$C$2,'Parámetros'!$B$26*(L48+L55),"")</f>
        <v/>
      </c>
      <c r="M64" s="25">
        <f>IF(Listas!$C$2,'Parámetros'!$B$26*(M48+M55),"")</f>
        <v/>
      </c>
    </row>
    <row r="65">
      <c r="A65" s="44" t="inlineStr">
        <is>
          <t>COSTO PATRONAL</t>
        </is>
      </c>
      <c r="B65" s="37">
        <f>IF(Listas!$C$2,B58+B61+B63+B64,"")</f>
        <v/>
      </c>
      <c r="C65" s="37">
        <f>IF(Listas!$C$2,C58+C61+C63+C64,"")</f>
        <v/>
      </c>
      <c r="D65" s="37">
        <f>IF(Listas!$C$2,D58+D61+D63+D64,"")</f>
        <v/>
      </c>
      <c r="E65" s="37">
        <f>IF(Listas!$C$2,E58+E61+E63+E64,"")</f>
        <v/>
      </c>
      <c r="F65" s="37">
        <f>IF(Listas!$C$2,F58+F61+F63+F64,"")</f>
        <v/>
      </c>
      <c r="G65" s="37">
        <f>IF(Listas!$C$2,G58+G61+G63+G64,"")</f>
        <v/>
      </c>
      <c r="H65" s="37">
        <f>IF(Listas!$C$2,H58+H61+H63+H64,"")</f>
        <v/>
      </c>
      <c r="I65" s="37">
        <f>IF(Listas!$C$2,I58+I61+I63+I64,"")</f>
        <v/>
      </c>
      <c r="J65" s="37">
        <f>IF(Listas!$C$2,J58+J61+J63+J64,"")</f>
        <v/>
      </c>
      <c r="K65" s="37">
        <f>IF(Listas!$C$2,K58+K61+K63+K64,"")</f>
        <v/>
      </c>
      <c r="L65" s="37">
        <f>IF(Listas!$C$2,L58+L61+L63+L64,"")</f>
        <v/>
      </c>
      <c r="M65" s="37">
        <f>IF(Listas!$C$2,M58+M61+M63+M64,"")</f>
        <v/>
      </c>
    </row>
    <row r="66">
      <c r="A66" s="44" t="inlineStr">
        <is>
          <t>COSTO LABORAL TOTAL</t>
        </is>
      </c>
      <c r="B66" s="37">
        <f>IF(Listas!$C$2,B48+B55+B65,"")</f>
        <v/>
      </c>
      <c r="C66" s="37">
        <f>IF(Listas!$C$2,C48+C55+C65,"")</f>
        <v/>
      </c>
      <c r="D66" s="37">
        <f>IF(Listas!$C$2,D48+D55+D65,"")</f>
        <v/>
      </c>
      <c r="E66" s="37">
        <f>IF(Listas!$C$2,E48+E55+E65,"")</f>
        <v/>
      </c>
      <c r="F66" s="37">
        <f>IF(Listas!$C$2,F48+F55+F65,"")</f>
        <v/>
      </c>
      <c r="G66" s="37">
        <f>IF(Listas!$C$2,G48+G55+G65,"")</f>
        <v/>
      </c>
      <c r="H66" s="37">
        <f>IF(Listas!$C$2,H48+H55+H65,"")</f>
        <v/>
      </c>
      <c r="I66" s="37">
        <f>IF(Listas!$C$2,I48+I55+I65,"")</f>
        <v/>
      </c>
      <c r="J66" s="37">
        <f>IF(Listas!$C$2,J48+J55+J65,"")</f>
        <v/>
      </c>
      <c r="K66" s="37">
        <f>IF(Listas!$C$2,K48+K55+K65,"")</f>
        <v/>
      </c>
      <c r="L66" s="37">
        <f>IF(Listas!$C$2,L48+L55+L65,"")</f>
        <v/>
      </c>
      <c r="M66" s="37">
        <f>IF(Listas!$C$2,M48+M55+M65,"")</f>
        <v/>
      </c>
    </row>
    <row r="67">
      <c r="A67" s="44" t="inlineStr">
        <is>
          <t>ISR antes de subsidio</t>
        </is>
      </c>
      <c r="B67" s="25">
        <f>IF(Listas!$C$2,IF(B48&lt;='Parámetros'!$B$5*'Parámetros'!$B$10+0.005,0,VLOOKUP(B48,'Parámetros'!$A$46:$C$56,2,TRUE)+(B48-VLOOKUP(B48,'Parámetros'!$A$46:$C$56,1,TRUE))*VLOOKUP(B48,'Parámetros'!$A$46:$C$56,3,TRUE)),"")</f>
        <v/>
      </c>
      <c r="C67" s="25">
        <f>IF(Listas!$C$2,IF(C48&lt;='Parámetros'!$B$5*'Parámetros'!$B$10+0.005,0,VLOOKUP(C48,'Parámetros'!$A$46:$C$56,2,TRUE)+(C48-VLOOKUP(C48,'Parámetros'!$A$46:$C$56,1,TRUE))*VLOOKUP(C48,'Parámetros'!$A$46:$C$56,3,TRUE)),"")</f>
        <v/>
      </c>
      <c r="D67" s="25">
        <f>IF(Listas!$C$2,IF(D48&lt;='Parámetros'!$B$5*'Parámetros'!$B$10+0.005,0,VLOOKUP(D48,'Parámetros'!$A$46:$C$56,2,TRUE)+(D48-VLOOKUP(D48,'Parámetros'!$A$46:$C$56,1,TRUE))*VLOOKUP(D48,'Parámetros'!$A$46:$C$56,3,TRUE)),"")</f>
        <v/>
      </c>
      <c r="E67" s="25">
        <f>IF(Listas!$C$2,IF(E48&lt;='Parámetros'!$B$5*'Parámetros'!$B$10+0.005,0,VLOOKUP(E48,'Parámetros'!$A$46:$C$56,2,TRUE)+(E48-VLOOKUP(E48,'Parámetros'!$A$46:$C$56,1,TRUE))*VLOOKUP(E48,'Parámetros'!$A$46:$C$56,3,TRUE)),"")</f>
        <v/>
      </c>
      <c r="F67" s="25">
        <f>IF(Listas!$C$2,IF(F48&lt;='Parámetros'!$B$5*'Parámetros'!$B$10+0.005,0,VLOOKUP(F48,'Parámetros'!$A$46:$C$56,2,TRUE)+(F48-VLOOKUP(F48,'Parámetros'!$A$46:$C$56,1,TRUE))*VLOOKUP(F48,'Parámetros'!$A$46:$C$56,3,TRUE)),"")</f>
        <v/>
      </c>
      <c r="G67" s="25">
        <f>IF(Listas!$C$2,IF(G48&lt;='Parámetros'!$B$5*'Parámetros'!$B$10+0.005,0,VLOOKUP(G48,'Parámetros'!$A$46:$C$56,2,TRUE)+(G48-VLOOKUP(G48,'Parámetros'!$A$46:$C$56,1,TRUE))*VLOOKUP(G48,'Parámetros'!$A$46:$C$56,3,TRUE)),"")</f>
        <v/>
      </c>
      <c r="H67" s="25">
        <f>IF(Listas!$C$2,IF(H48&lt;='Parámetros'!$B$5*'Parámetros'!$B$10+0.005,0,VLOOKUP(H48,'Parámetros'!$A$46:$C$56,2,TRUE)+(H48-VLOOKUP(H48,'Parámetros'!$A$46:$C$56,1,TRUE))*VLOOKUP(H48,'Parámetros'!$A$46:$C$56,3,TRUE)),"")</f>
        <v/>
      </c>
      <c r="I67" s="25">
        <f>IF(Listas!$C$2,IF(I48&lt;='Parámetros'!$B$5*'Parámetros'!$B$10+0.005,0,VLOOKUP(I48,'Parámetros'!$A$46:$C$56,2,TRUE)+(I48-VLOOKUP(I48,'Parámetros'!$A$46:$C$56,1,TRUE))*VLOOKUP(I48,'Parámetros'!$A$46:$C$56,3,TRUE)),"")</f>
        <v/>
      </c>
      <c r="J67" s="25">
        <f>IF(Listas!$C$2,IF(J48&lt;='Parámetros'!$B$5*'Parámetros'!$B$10+0.005,0,VLOOKUP(J48,'Parámetros'!$A$46:$C$56,2,TRUE)+(J48-VLOOKUP(J48,'Parámetros'!$A$46:$C$56,1,TRUE))*VLOOKUP(J48,'Parámetros'!$A$46:$C$56,3,TRUE)),"")</f>
        <v/>
      </c>
      <c r="K67" s="25">
        <f>IF(Listas!$C$2,IF(K48&lt;='Parámetros'!$B$5*'Parámetros'!$B$10+0.005,0,VLOOKUP(K48,'Parámetros'!$A$46:$C$56,2,TRUE)+(K48-VLOOKUP(K48,'Parámetros'!$A$46:$C$56,1,TRUE))*VLOOKUP(K48,'Parámetros'!$A$46:$C$56,3,TRUE)),"")</f>
        <v/>
      </c>
      <c r="L67" s="25">
        <f>IF(Listas!$C$2,IF(L48&lt;='Parámetros'!$B$5*'Parámetros'!$B$10+0.005,0,VLOOKUP(L48,'Parámetros'!$A$46:$C$56,2,TRUE)+(L48-VLOOKUP(L48,'Parámetros'!$A$46:$C$56,1,TRUE))*VLOOKUP(L48,'Parámetros'!$A$46:$C$56,3,TRUE)),"")</f>
        <v/>
      </c>
      <c r="M67" s="25">
        <f>IF(Listas!$C$2,IF(M48&lt;='Parámetros'!$B$5*'Parámetros'!$B$10+0.005,0,VLOOKUP(M48,'Parámetros'!$A$46:$C$56,2,TRUE)+(M48-VLOOKUP(M48,'Parámetros'!$A$46:$C$56,1,TRUE))*VLOOKUP(M48,'Parámetros'!$A$46:$C$56,3,TRUE)),"")</f>
        <v/>
      </c>
    </row>
    <row r="68">
      <c r="A68" s="44" t="inlineStr">
        <is>
          <t>Subsidio para el empleo</t>
        </is>
      </c>
      <c r="B68" s="25">
        <f>IF(Listas!$C$2,IF(B48&lt;='Parámetros'!$B$59,'Parámetros'!$B$58*'Parámetros'!$B$9*'Parámetros'!$B$10,0),"")</f>
        <v/>
      </c>
      <c r="C68" s="25">
        <f>IF(Listas!$C$2,IF(C48&lt;='Parámetros'!$B$59,'Parámetros'!$B$58*'Parámetros'!$B$9*'Parámetros'!$B$10,0),"")</f>
        <v/>
      </c>
      <c r="D68" s="25">
        <f>IF(Listas!$C$2,IF(D48&lt;='Parámetros'!$B$59,'Parámetros'!$B$58*'Parámetros'!$B$9*'Parámetros'!$B$10,0),"")</f>
        <v/>
      </c>
      <c r="E68" s="25">
        <f>IF(Listas!$C$2,IF(E48&lt;='Parámetros'!$B$59,'Parámetros'!$B$58*'Parámetros'!$B$9*'Parámetros'!$B$10,0),"")</f>
        <v/>
      </c>
      <c r="F68" s="25">
        <f>IF(Listas!$C$2,IF(F48&lt;='Parámetros'!$B$59,'Parámetros'!$B$58*'Parámetros'!$B$9*'Parámetros'!$B$10,0),"")</f>
        <v/>
      </c>
      <c r="G68" s="25">
        <f>IF(Listas!$C$2,IF(G48&lt;='Parámetros'!$B$59,'Parámetros'!$B$58*'Parámetros'!$B$9*'Parámetros'!$B$10,0),"")</f>
        <v/>
      </c>
      <c r="H68" s="25">
        <f>IF(Listas!$C$2,IF(H48&lt;='Parámetros'!$B$59,'Parámetros'!$B$58*'Parámetros'!$B$9*'Parámetros'!$B$10,0),"")</f>
        <v/>
      </c>
      <c r="I68" s="25">
        <f>IF(Listas!$C$2,IF(I48&lt;='Parámetros'!$B$59,'Parámetros'!$B$58*'Parámetros'!$B$9*'Parámetros'!$B$10,0),"")</f>
        <v/>
      </c>
      <c r="J68" s="25">
        <f>IF(Listas!$C$2,IF(J48&lt;='Parámetros'!$B$59,'Parámetros'!$B$58*'Parámetros'!$B$9*'Parámetros'!$B$10,0),"")</f>
        <v/>
      </c>
      <c r="K68" s="25">
        <f>IF(Listas!$C$2,IF(K48&lt;='Parámetros'!$B$59,'Parámetros'!$B$58*'Parámetros'!$B$9*'Parámetros'!$B$10,0),"")</f>
        <v/>
      </c>
      <c r="L68" s="25">
        <f>IF(Listas!$C$2,IF(L48&lt;='Parámetros'!$B$59,'Parámetros'!$B$58*'Parámetros'!$B$9*'Parámetros'!$B$10,0),"")</f>
        <v/>
      </c>
      <c r="M68" s="25">
        <f>IF(Listas!$C$2,IF(M48&lt;='Parámetros'!$B$59,'Parámetros'!$B$58*'Parámetros'!$B$9*'Parámetros'!$B$10,0),"")</f>
        <v/>
      </c>
    </row>
    <row r="69">
      <c r="A69" s="44" t="inlineStr">
        <is>
          <t>ISR retenido</t>
        </is>
      </c>
      <c r="B69" s="25">
        <f>IF(Listas!$C$2,MAX(0,B67-B68),"")</f>
        <v/>
      </c>
      <c r="C69" s="25">
        <f>IF(Listas!$C$2,MAX(0,C67-C68),"")</f>
        <v/>
      </c>
      <c r="D69" s="25">
        <f>IF(Listas!$C$2,MAX(0,D67-D68),"")</f>
        <v/>
      </c>
      <c r="E69" s="25">
        <f>IF(Listas!$C$2,MAX(0,E67-E68),"")</f>
        <v/>
      </c>
      <c r="F69" s="25">
        <f>IF(Listas!$C$2,MAX(0,F67-F68),"")</f>
        <v/>
      </c>
      <c r="G69" s="25">
        <f>IF(Listas!$C$2,MAX(0,G67-G68),"")</f>
        <v/>
      </c>
      <c r="H69" s="25">
        <f>IF(Listas!$C$2,MAX(0,H67-H68),"")</f>
        <v/>
      </c>
      <c r="I69" s="25">
        <f>IF(Listas!$C$2,MAX(0,I67-I68),"")</f>
        <v/>
      </c>
      <c r="J69" s="25">
        <f>IF(Listas!$C$2,MAX(0,J67-J68),"")</f>
        <v/>
      </c>
      <c r="K69" s="25">
        <f>IF(Listas!$C$2,MAX(0,K67-K68),"")</f>
        <v/>
      </c>
      <c r="L69" s="25">
        <f>IF(Listas!$C$2,MAX(0,L67-L68),"")</f>
        <v/>
      </c>
      <c r="M69" s="25">
        <f>IF(Listas!$C$2,MAX(0,M67-M68),"")</f>
        <v/>
      </c>
    </row>
    <row r="70">
      <c r="A70" s="44" t="inlineStr">
        <is>
          <t>SALARIO NETO (lo que recibe)</t>
        </is>
      </c>
      <c r="B70" s="25">
        <f>IF(Listas!$C$2,B48-B62-B69,"")</f>
        <v/>
      </c>
      <c r="C70" s="25">
        <f>IF(Listas!$C$2,C48-C62-C69,"")</f>
        <v/>
      </c>
      <c r="D70" s="25">
        <f>IF(Listas!$C$2,D48-D62-D69,"")</f>
        <v/>
      </c>
      <c r="E70" s="25">
        <f>IF(Listas!$C$2,E48-E62-E69,"")</f>
        <v/>
      </c>
      <c r="F70" s="25">
        <f>IF(Listas!$C$2,F48-F62-F69,"")</f>
        <v/>
      </c>
      <c r="G70" s="25">
        <f>IF(Listas!$C$2,G48-G62-G69,"")</f>
        <v/>
      </c>
      <c r="H70" s="25">
        <f>IF(Listas!$C$2,H48-H62-H69,"")</f>
        <v/>
      </c>
      <c r="I70" s="25">
        <f>IF(Listas!$C$2,I48-I62-I69,"")</f>
        <v/>
      </c>
      <c r="J70" s="25">
        <f>IF(Listas!$C$2,J48-J62-J69,"")</f>
        <v/>
      </c>
      <c r="K70" s="25">
        <f>IF(Listas!$C$2,K48-K62-K69,"")</f>
        <v/>
      </c>
      <c r="L70" s="25">
        <f>IF(Listas!$C$2,L48-L62-L69,"")</f>
        <v/>
      </c>
      <c r="M70" s="25">
        <f>IF(Listas!$C$2,M48-M62-M69,"")</f>
        <v/>
      </c>
    </row>
    <row r="71">
      <c r="A71" s="44" t="inlineStr">
        <is>
          <t>CONTRIBUCIÓN DE LA TÉCNICA</t>
        </is>
      </c>
      <c r="B71" s="37">
        <f>IF(Listas!$C$2,B40-B41-B42-B66,"")</f>
        <v/>
      </c>
      <c r="C71" s="37">
        <f>IF(Listas!$C$2,C40-C41-C42-C66,"")</f>
        <v/>
      </c>
      <c r="D71" s="37">
        <f>IF(Listas!$C$2,D40-D41-D42-D66,"")</f>
        <v/>
      </c>
      <c r="E71" s="37">
        <f>IF(Listas!$C$2,E40-E41-E42-E66,"")</f>
        <v/>
      </c>
      <c r="F71" s="37">
        <f>IF(Listas!$C$2,F40-F41-F42-F66,"")</f>
        <v/>
      </c>
      <c r="G71" s="37">
        <f>IF(Listas!$C$2,G40-G41-G42-G66,"")</f>
        <v/>
      </c>
      <c r="H71" s="37">
        <f>IF(Listas!$C$2,H40-H41-H42-H66,"")</f>
        <v/>
      </c>
      <c r="I71" s="37">
        <f>IF(Listas!$C$2,I40-I41-I42-I66,"")</f>
        <v/>
      </c>
      <c r="J71" s="37">
        <f>IF(Listas!$C$2,J40-J41-J42-J66,"")</f>
        <v/>
      </c>
      <c r="K71" s="37">
        <f>IF(Listas!$C$2,K40-K41-K42-K66,"")</f>
        <v/>
      </c>
      <c r="L71" s="37">
        <f>IF(Listas!$C$2,L40-L41-L42-L66,"")</f>
        <v/>
      </c>
      <c r="M71" s="37">
        <f>IF(Listas!$C$2,M40-M41-M42-M66,"")</f>
        <v/>
      </c>
    </row>
    <row r="72">
      <c r="A72" s="44" t="inlineStr">
        <is>
          <t>Costo laboral / cobrado</t>
        </is>
      </c>
      <c r="B72" s="40">
        <f>IF(Listas!$C$2,IF(B40=0,"",B66/B40),"")</f>
        <v/>
      </c>
      <c r="C72" s="40">
        <f>IF(Listas!$C$2,IF(C40=0,"",C66/C40),"")</f>
        <v/>
      </c>
      <c r="D72" s="40">
        <f>IF(Listas!$C$2,IF(D40=0,"",D66/D40),"")</f>
        <v/>
      </c>
      <c r="E72" s="40">
        <f>IF(Listas!$C$2,IF(E40=0,"",E66/E40),"")</f>
        <v/>
      </c>
      <c r="F72" s="40">
        <f>IF(Listas!$C$2,IF(F40=0,"",F66/F40),"")</f>
        <v/>
      </c>
      <c r="G72" s="40">
        <f>IF(Listas!$C$2,IF(G40=0,"",G66/G40),"")</f>
        <v/>
      </c>
      <c r="H72" s="40">
        <f>IF(Listas!$C$2,IF(H40=0,"",H66/H40),"")</f>
        <v/>
      </c>
      <c r="I72" s="40">
        <f>IF(Listas!$C$2,IF(I40=0,"",I66/I40),"")</f>
        <v/>
      </c>
      <c r="J72" s="40">
        <f>IF(Listas!$C$2,IF(J40=0,"",J66/J40),"")</f>
        <v/>
      </c>
      <c r="K72" s="40">
        <f>IF(Listas!$C$2,IF(K40=0,"",K66/K40),"")</f>
        <v/>
      </c>
      <c r="L72" s="40">
        <f>IF(Listas!$C$2,IF(L40=0,"",L66/L40),"")</f>
        <v/>
      </c>
      <c r="M72" s="40">
        <f>IF(Listas!$C$2,IF(M40=0,"",M66/M40),"")</f>
        <v/>
      </c>
    </row>
    <row r="73">
      <c r="A73" s="44" t="inlineStr">
        <is>
          <t>Resultado operativo estimado</t>
        </is>
      </c>
      <c r="B73" s="25">
        <f>IF(Listas!$C$2,IF('Mi técnica'!$D$23="","",B71-'Mi técnica'!$D$23*B$5),"")</f>
        <v/>
      </c>
      <c r="C73" s="25">
        <f>IF(Listas!$C$2,IF('Mi técnica'!$D$23="","",C71-'Mi técnica'!$D$23*B$5),"")</f>
        <v/>
      </c>
      <c r="D73" s="25">
        <f>IF(Listas!$C$2,IF('Mi técnica'!$D$23="","",D71-'Mi técnica'!$D$23*B$5),"")</f>
        <v/>
      </c>
      <c r="E73" s="25">
        <f>IF(Listas!$C$2,IF('Mi técnica'!$D$23="","",E71-'Mi técnica'!$D$23*C$5),"")</f>
        <v/>
      </c>
      <c r="F73" s="25">
        <f>IF(Listas!$C$2,IF('Mi técnica'!$D$23="","",F71-'Mi técnica'!$D$23*C$5),"")</f>
        <v/>
      </c>
      <c r="G73" s="25">
        <f>IF(Listas!$C$2,IF('Mi técnica'!$D$23="","",G71-'Mi técnica'!$D$23*C$5),"")</f>
        <v/>
      </c>
      <c r="H73" s="25">
        <f>IF(Listas!$C$2,IF('Mi técnica'!$D$23="","",H71-'Mi técnica'!$D$23*D$5),"")</f>
        <v/>
      </c>
      <c r="I73" s="25">
        <f>IF(Listas!$C$2,IF('Mi técnica'!$D$23="","",I71-'Mi técnica'!$D$23*D$5),"")</f>
        <v/>
      </c>
      <c r="J73" s="25">
        <f>IF(Listas!$C$2,IF('Mi técnica'!$D$23="","",J71-'Mi técnica'!$D$23*D$5),"")</f>
        <v/>
      </c>
      <c r="K73" s="25">
        <f>IF(Listas!$C$2,IF('Mi técnica'!$D$23="","",K71-'Mi técnica'!$D$23*E$5),"")</f>
        <v/>
      </c>
      <c r="L73" s="25">
        <f>IF(Listas!$C$2,IF('Mi técnica'!$D$23="","",L71-'Mi técnica'!$D$23*E$5),"")</f>
        <v/>
      </c>
      <c r="M73" s="25">
        <f>IF(Listas!$C$2,IF('Mi técnica'!$D$23="","",M71-'Mi técnica'!$D$23*E$5),"")</f>
        <v/>
      </c>
    </row>
    <row r="74">
      <c r="A74" s="44" t="inlineStr">
        <is>
          <t>Piso semanal de referencia</t>
        </is>
      </c>
      <c r="B74" s="25">
        <f>IF(Listas!$C$2,'Parámetros'!$B$8*7,"")</f>
        <v/>
      </c>
      <c r="C74" s="25">
        <f>IF(Listas!$C$2,'Parámetros'!$B$8*7,"")</f>
        <v/>
      </c>
      <c r="D74" s="25">
        <f>IF(Listas!$C$2,'Parámetros'!$B$8*7,"")</f>
        <v/>
      </c>
      <c r="E74" s="25">
        <f>IF(Listas!$C$2,'Parámetros'!$B$8*7,"")</f>
        <v/>
      </c>
      <c r="F74" s="25">
        <f>IF(Listas!$C$2,'Parámetros'!$B$8*7,"")</f>
        <v/>
      </c>
      <c r="G74" s="25">
        <f>IF(Listas!$C$2,'Parámetros'!$B$8*7,"")</f>
        <v/>
      </c>
      <c r="H74" s="25">
        <f>IF(Listas!$C$2,'Parámetros'!$B$8*7,"")</f>
        <v/>
      </c>
      <c r="I74" s="25">
        <f>IF(Listas!$C$2,'Parámetros'!$B$8*7,"")</f>
        <v/>
      </c>
      <c r="J74" s="25">
        <f>IF(Listas!$C$2,'Parámetros'!$B$8*7,"")</f>
        <v/>
      </c>
      <c r="K74" s="25">
        <f>IF(Listas!$C$2,'Parámetros'!$B$8*7,"")</f>
        <v/>
      </c>
      <c r="L74" s="25">
        <f>IF(Listas!$C$2,'Parámetros'!$B$8*7,"")</f>
        <v/>
      </c>
      <c r="M74" s="25">
        <f>IF(Listas!$C$2,'Parámetros'!$B$8*7,"")</f>
        <v/>
      </c>
    </row>
  </sheetData>
  <conditionalFormatting sqref="B10:E12">
    <cfRule type="expression" priority="1" dxfId="0">
      <formula>AND(ISNUMBER(B10),B10&lt;0)</formula>
    </cfRule>
  </conditionalFormatting>
  <dataValidations count="1">
    <dataValidation sqref="B5:E5" showDropDown="0" showInputMessage="0" showErrorMessage="1" allowBlank="0" error="Escribe un porcentaje entre 0 % y 300 %." type="decimal" operator="between">
      <formula1>0</formula1>
      <formula2>3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Piso</t>
        </is>
      </c>
      <c r="B1" t="inlineStr">
        <is>
          <t>Sí/No</t>
        </is>
      </c>
      <c r="C1" t="inlineStr">
        <is>
          <t>Datos válidos</t>
        </is>
      </c>
      <c r="D1" t="inlineStr">
        <is>
          <t>Año</t>
        </is>
      </c>
    </row>
    <row r="2">
      <c r="A2" t="inlineStr">
        <is>
          <t>Profesional</t>
        </is>
      </c>
      <c r="B2" t="inlineStr">
        <is>
          <t>Sí</t>
        </is>
      </c>
      <c r="C2">
        <f>IFERROR(AND(OR('Mi técnica'!B5="",AND(ISNUMBER('Mi técnica'!B5),'Mi técnica'!B5&gt;=0)),OR('Mi técnica'!C5="",AND(ISNUMBER('Mi técnica'!C5),'Mi técnica'!C5&gt;=0)),OR('Mi técnica'!D5="",AND(ISNUMBER('Mi técnica'!D5),'Mi técnica'!D5&gt;=0)),OR('Mi técnica'!B6="",AND(ISNUMBER('Mi técnica'!B6),'Mi técnica'!B6&gt;=0)),OR('Mi técnica'!C6="",AND(ISNUMBER('Mi técnica'!C6),'Mi técnica'!C6&gt;=0)),OR('Mi técnica'!D6="",AND(ISNUMBER('Mi técnica'!D6),'Mi técnica'!D6&gt;=0)),OR('Mi técnica'!B7="",AND(ISNUMBER('Mi técnica'!B7),'Mi técnica'!B7&gt;=0)),OR('Mi técnica'!C7="",AND(ISNUMBER('Mi técnica'!C7),'Mi técnica'!C7&gt;=0)),OR('Mi técnica'!D7="",AND(ISNUMBER('Mi técnica'!D7),'Mi técnica'!D7&gt;=0)),OR('Mi técnica'!B8="",AND(ISNUMBER('Mi técnica'!B8),'Mi técnica'!B8&gt;=0)),OR('Mi técnica'!C8="",AND(ISNUMBER('Mi técnica'!C8),'Mi técnica'!C8&gt;=0)),OR('Mi técnica'!D8="",AND(ISNUMBER('Mi técnica'!D8),'Mi técnica'!D8&gt;=0)),OR('Mi técnica'!B9="",AND(ISNUMBER('Mi técnica'!B9),'Mi técnica'!B9&gt;=0)),OR('Mi técnica'!C9="",AND(ISNUMBER('Mi técnica'!C9),'Mi técnica'!C9&gt;=0)),OR('Mi técnica'!D9="",AND(ISNUMBER('Mi técnica'!D9),'Mi técnica'!D9&gt;=0)),OR('Mi técnica'!B10="",AND(ISNUMBER('Mi técnica'!B10),'Mi técnica'!B10&gt;=0)),OR('Mi técnica'!C10="",AND(ISNUMBER('Mi técnica'!C10),'Mi técnica'!C10&gt;=0)),OR('Mi técnica'!D10="",AND(ISNUMBER('Mi técnica'!D10),'Mi técnica'!D10&gt;=0)),OR('Mi técnica'!B11="",AND(ISNUMBER('Mi técnica'!B11),'Mi técnica'!B11&gt;=0)),OR('Mi técnica'!C11="",AND(ISNUMBER('Mi técnica'!C11),'Mi técnica'!C11&gt;=0)),OR('Mi técnica'!D11="",AND(ISNUMBER('Mi técnica'!D11),'Mi técnica'!D11&gt;=0)),OR('Mi técnica'!B12="",AND(ISNUMBER('Mi técnica'!B12),'Mi técnica'!B12&gt;=0)),OR('Mi técnica'!C12="",AND(ISNUMBER('Mi técnica'!C12),'Mi técnica'!C12&gt;=0)),OR('Mi técnica'!D12="",AND(ISNUMBER('Mi técnica'!D12),'Mi técnica'!D12&gt;=0)),OR('Mi técnica'!D16="Sí",'Mi técnica'!D16="No"),AND(ISNUMBER('Mi técnica'!D17),'Mi técnica'!D17&gt;=0,'Mi técnica'!D17&lt;=1),AND(ISNUMBER('Mi técnica'!D18),'Mi técnica'!D18&gt;=0,'Mi técnica'!D18&lt;=0.2),OR('Mi técnica'!D22="",AND(ISNUMBER('Mi técnica'!D22),'Mi técnica'!D22&gt;=0,'Mi técnica'!D22&lt;=5)),OR('Mi técnica'!D23="",AND(ISNUMBER('Mi técnica'!D23),'Mi técnica'!D23&gt;=0)),AND(ISNUMBER('Esquemas'!B5),'Esquemas'!B5&gt;=0,ISNUMBER('Esquemas'!C5),'Esquemas'!C5&gt;=0),AND(ISNUMBER('Esquemas'!C6),'Esquemas'!C6&gt;=0,'Esquemas'!C6&lt;=1,ISNUMBER('Esquemas'!D6),'Esquemas'!D6&gt;=0,'Esquemas'!D6&lt;=1),AND(ISNUMBER('Parámetros'!$B$8),'Parámetros'!$B$8&gt;0,ISNUMBER('Parámetros'!$B$9),'Parámetros'!$B$9&gt;0,ISNUMBER('Parámetros'!$B$10),'Parámetros'!$B$10&gt;0)),FALSE)</f>
        <v/>
      </c>
      <c r="D2" t="n">
        <v>2026</v>
      </c>
    </row>
    <row r="3">
      <c r="A3" t="inlineStr">
        <is>
          <t>General</t>
        </is>
      </c>
      <c r="B3" t="inlineStr">
        <is>
          <t>No</t>
        </is>
      </c>
      <c r="C3">
        <f>AND(ISNUMBER(Volumen!B5),ISNUMBER(Volumen!C5),ISNUMBER(Volumen!D5),ISNUMBER(Volumen!E5))</f>
        <v/>
      </c>
      <c r="D3" t="n">
        <v>2027</v>
      </c>
    </row>
    <row r="4">
      <c r="D4" t="n">
        <v>2028</v>
      </c>
    </row>
    <row r="5">
      <c r="D5" t="n">
        <v>2029</v>
      </c>
    </row>
    <row r="6">
      <c r="D6" t="n">
        <v>2030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2026-10-23T18:33:51Z</dcterms:created>
  <dcterms:modified xmlns:dcterms="http://purl.org/dc/terms/" xmlns:xsi="http://www.w3.org/2001/XMLSchema-instance" xsi:type="dcterms:W3CDTF">2026-10-23T18:33:51Z</dcterms:modified>
</cp:coreProperties>
</file>